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lina.lokasaari\Desktop\Vuohihanke\"/>
    </mc:Choice>
  </mc:AlternateContent>
  <xr:revisionPtr revIDLastSave="0" documentId="8_{2A0F8BD1-EB38-4410-947D-AAA7B4468174}" xr6:coauthVersionLast="40" xr6:coauthVersionMax="40" xr10:uidLastSave="{00000000-0000-0000-0000-000000000000}"/>
  <bookViews>
    <workbookView xWindow="-108" yWindow="-108" windowWidth="23256" windowHeight="12600" xr2:uid="{00000000-000D-0000-FFFF-FFFF00000000}"/>
  </bookViews>
  <sheets>
    <sheet name="Tuotanto" sheetId="2" r:id="rId1"/>
    <sheet name="Myyntituotot" sheetId="3" r:id="rId2"/>
    <sheet name="Tuet" sheetId="9" r:id="rId3"/>
    <sheet name="Muuttuvat kustannukset" sheetId="4" r:id="rId4"/>
    <sheet name="Työn menekki" sheetId="12" r:id="rId5"/>
    <sheet name="Katelaskenta" sheetId="5" r:id="rId6"/>
    <sheet name="Yhteenveto" sheetId="6" r:id="rId7"/>
    <sheet name="Kiinteät kustannukset" sheetId="13" r:id="rId8"/>
    <sheet name="aputaulukot" sheetId="11" state="hidden" r:id="rId9"/>
  </sheets>
  <definedNames>
    <definedName name="tukialue">aputaulukot!$B$2:$B$9</definedName>
    <definedName name="tukialueet">aputaulukot!$B$2:$B$9</definedName>
  </definedNames>
  <calcPr calcId="181029"/>
</workbook>
</file>

<file path=xl/calcChain.xml><?xml version="1.0" encoding="utf-8"?>
<calcChain xmlns="http://schemas.openxmlformats.org/spreadsheetml/2006/main">
  <c r="K21" i="13" l="1"/>
  <c r="L21" i="13" s="1"/>
  <c r="I21" i="13" s="1"/>
  <c r="N21" i="13"/>
  <c r="K22" i="13"/>
  <c r="L22" i="13" s="1"/>
  <c r="N22" i="13"/>
  <c r="K23" i="13"/>
  <c r="L23" i="13"/>
  <c r="I23" i="13" s="1"/>
  <c r="N23" i="13"/>
  <c r="K24" i="13"/>
  <c r="L24" i="13" s="1"/>
  <c r="I24" i="13" s="1"/>
  <c r="N24" i="13"/>
  <c r="K25" i="13"/>
  <c r="L25" i="13"/>
  <c r="I25" i="13" s="1"/>
  <c r="N25" i="13"/>
  <c r="E26" i="13"/>
  <c r="E7" i="13" s="1"/>
  <c r="D21" i="2"/>
  <c r="N26" i="13" l="1"/>
  <c r="E6" i="13" s="1"/>
  <c r="I22" i="13"/>
  <c r="I26" i="13" s="1"/>
  <c r="E4" i="13" s="1"/>
  <c r="L26" i="13"/>
  <c r="E5" i="13" s="1"/>
  <c r="C2" i="6"/>
  <c r="E17" i="13" l="1"/>
  <c r="C7" i="13" s="1"/>
  <c r="E9" i="12"/>
  <c r="C6" i="9"/>
  <c r="B34" i="5" l="1"/>
  <c r="B33" i="5"/>
  <c r="D23" i="12"/>
  <c r="C33" i="5" s="1"/>
  <c r="E13" i="12"/>
  <c r="E5" i="12"/>
  <c r="E16" i="12" s="1"/>
  <c r="E20" i="12" l="1"/>
  <c r="D26" i="12" s="1"/>
  <c r="C34" i="5" s="1"/>
  <c r="D11" i="2"/>
  <c r="E8" i="3" l="1"/>
  <c r="D13" i="2" l="1"/>
  <c r="C24" i="5" s="1"/>
  <c r="C47" i="13"/>
  <c r="G7" i="13" s="1"/>
  <c r="D33" i="13"/>
  <c r="G5" i="13" s="1"/>
  <c r="D30" i="13"/>
  <c r="G4" i="13" s="1"/>
  <c r="K12" i="13"/>
  <c r="L12" i="13" s="1"/>
  <c r="I12" i="13" s="1"/>
  <c r="K7" i="4"/>
  <c r="J13" i="4"/>
  <c r="J10" i="4"/>
  <c r="D12" i="2"/>
  <c r="C3" i="6"/>
  <c r="D15" i="2"/>
  <c r="E18" i="4"/>
  <c r="E17" i="4"/>
  <c r="E19" i="4"/>
  <c r="E20" i="4"/>
  <c r="E15" i="4"/>
  <c r="E10" i="4"/>
  <c r="E11" i="4"/>
  <c r="E7" i="4"/>
  <c r="E8" i="4"/>
  <c r="E9" i="4"/>
  <c r="I18" i="9"/>
  <c r="E13" i="3"/>
  <c r="H8" i="3"/>
  <c r="B22" i="3"/>
  <c r="B26" i="3"/>
  <c r="B30" i="3"/>
  <c r="B10" i="3"/>
  <c r="C6" i="5" s="1"/>
  <c r="B15" i="3"/>
  <c r="E30" i="3"/>
  <c r="C7" i="5" s="1"/>
  <c r="I19" i="9"/>
  <c r="J21" i="9"/>
  <c r="N12" i="13"/>
  <c r="J22" i="9"/>
  <c r="N13" i="13"/>
  <c r="N14" i="13"/>
  <c r="N15" i="13"/>
  <c r="N16" i="13"/>
  <c r="K15" i="13"/>
  <c r="L15" i="13" s="1"/>
  <c r="I15" i="13" s="1"/>
  <c r="B20" i="5"/>
  <c r="B23" i="5"/>
  <c r="B22" i="5"/>
  <c r="B21" i="5"/>
  <c r="B19" i="5"/>
  <c r="C48" i="4"/>
  <c r="C38" i="4"/>
  <c r="C22" i="5" s="1"/>
  <c r="C30" i="4"/>
  <c r="C21" i="5" s="1"/>
  <c r="K14" i="13"/>
  <c r="L14" i="13" s="1"/>
  <c r="I14" i="13" s="1"/>
  <c r="K16" i="13"/>
  <c r="L16" i="13" s="1"/>
  <c r="I16" i="13" s="1"/>
  <c r="K13" i="13"/>
  <c r="L13" i="13" s="1"/>
  <c r="C13" i="5"/>
  <c r="B6" i="3" l="1"/>
  <c r="C4" i="6"/>
  <c r="C16" i="6"/>
  <c r="C5" i="6"/>
  <c r="C5" i="5"/>
  <c r="E16" i="4"/>
  <c r="E21" i="4" s="1"/>
  <c r="C20" i="5" s="1"/>
  <c r="C21" i="4"/>
  <c r="E6" i="4"/>
  <c r="E12" i="4" s="1"/>
  <c r="C12" i="4"/>
  <c r="N17" i="13"/>
  <c r="J18" i="9"/>
  <c r="I13" i="13"/>
  <c r="I17" i="13" s="1"/>
  <c r="C4" i="13" s="1"/>
  <c r="L17" i="13"/>
  <c r="C5" i="13" s="1"/>
  <c r="K10" i="4"/>
  <c r="K13" i="4"/>
  <c r="C23" i="5"/>
  <c r="D23" i="5" s="1"/>
  <c r="B2" i="3"/>
  <c r="E22" i="5"/>
  <c r="D22" i="5"/>
  <c r="D21" i="5"/>
  <c r="E21" i="5"/>
  <c r="C4" i="5"/>
  <c r="J28" i="9"/>
  <c r="C7" i="9"/>
  <c r="J38" i="9" s="1"/>
  <c r="J30" i="9"/>
  <c r="J32" i="9"/>
  <c r="J19" i="9"/>
  <c r="J29" i="9"/>
  <c r="J33" i="9"/>
  <c r="C6" i="13" l="1"/>
  <c r="C8" i="13" s="1"/>
  <c r="E8" i="13"/>
  <c r="J24" i="9"/>
  <c r="C11" i="9" s="1"/>
  <c r="C10" i="5" s="1"/>
  <c r="C35" i="5"/>
  <c r="D35" i="5" s="1"/>
  <c r="C10" i="6" s="1"/>
  <c r="D2" i="4"/>
  <c r="E23" i="5"/>
  <c r="D4" i="5"/>
  <c r="E4" i="5"/>
  <c r="C8" i="5"/>
  <c r="J37" i="9"/>
  <c r="J39" i="9" s="1"/>
  <c r="C13" i="9" s="1"/>
  <c r="C12" i="5" s="1"/>
  <c r="J34" i="9"/>
  <c r="C12" i="9" s="1"/>
  <c r="C19" i="5"/>
  <c r="D20" i="5"/>
  <c r="E20" i="5"/>
  <c r="D22" i="2" l="1"/>
  <c r="C25" i="5" s="1"/>
  <c r="C26" i="5" s="1"/>
  <c r="D26" i="5" s="1"/>
  <c r="E35" i="5"/>
  <c r="C23" i="6"/>
  <c r="C11" i="5"/>
  <c r="C14" i="5" s="1"/>
  <c r="E14" i="5" s="1"/>
  <c r="C2" i="9"/>
  <c r="E8" i="5"/>
  <c r="D8" i="5"/>
  <c r="C7" i="6" s="1"/>
  <c r="D19" i="5"/>
  <c r="E19" i="5"/>
  <c r="C21" i="6" l="1"/>
  <c r="C30" i="5"/>
  <c r="C39" i="5" s="1"/>
  <c r="E39" i="5" s="1"/>
  <c r="E26" i="5"/>
  <c r="E30" i="5" s="1"/>
  <c r="D14" i="5"/>
  <c r="C15" i="5"/>
  <c r="C29" i="5" s="1"/>
  <c r="C38" i="5" s="1"/>
  <c r="C8" i="6"/>
  <c r="D30" i="5"/>
  <c r="C12" i="6" s="1"/>
  <c r="D39" i="5" l="1"/>
  <c r="C14" i="6" s="1"/>
  <c r="C20" i="6"/>
  <c r="C22" i="6" s="1"/>
  <c r="C24" i="6" s="1"/>
  <c r="D15" i="5"/>
  <c r="D29" i="5" s="1"/>
  <c r="C11" i="6" s="1"/>
  <c r="E15" i="5"/>
  <c r="E38" i="5"/>
  <c r="D38" i="5"/>
  <c r="C13" i="6" s="1"/>
  <c r="E29" i="5" l="1"/>
  <c r="C17" i="6"/>
  <c r="C6" i="6"/>
  <c r="C9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Juha Pennala</author>
  </authors>
  <commentList>
    <comment ref="C17" authorId="0" shapeId="0" xr:uid="{50C3ECCB-8B6F-4447-A9D5-9DFDB1FEC3C5}">
      <text>
        <r>
          <rPr>
            <b/>
            <sz val="9"/>
            <color indexed="81"/>
            <rFont val="Tahoma"/>
            <charset val="1"/>
          </rPr>
          <t>Juha Pennala:</t>
        </r>
        <r>
          <rPr>
            <sz val="9"/>
            <color indexed="81"/>
            <rFont val="Tahoma"/>
            <charset val="1"/>
          </rPr>
          <t xml:space="preserve">
Vuohien arvot Ruokaviraston liiketoimintasuunnitelman laadintaojeen 2019 mukaiset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Juha Pennala</author>
  </authors>
  <commentList>
    <comment ref="L3" authorId="0" shapeId="0" xr:uid="{EE25337F-095E-4E55-A861-30C0A725CB53}">
      <text>
        <r>
          <rPr>
            <b/>
            <sz val="9"/>
            <color indexed="81"/>
            <rFont val="Tahoma"/>
            <family val="2"/>
          </rPr>
          <t>Juha Pennala:</t>
        </r>
        <r>
          <rPr>
            <sz val="9"/>
            <color indexed="81"/>
            <rFont val="Tahoma"/>
            <family val="2"/>
          </rPr>
          <t xml:space="preserve">
Päivitä taulukkoon muutokset.
Poista ensin taulukon suojaus.</t>
        </r>
      </text>
    </comment>
    <comment ref="B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Juha Pennala:</t>
        </r>
        <r>
          <rPr>
            <sz val="9"/>
            <color indexed="81"/>
            <rFont val="Tahoma"/>
            <family val="2"/>
          </rPr>
          <t xml:space="preserve">
Valitse viereisestä alasvetovalikosta</t>
        </r>
      </text>
    </comment>
    <comment ref="B1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Juha Pennala:</t>
        </r>
        <r>
          <rPr>
            <sz val="9"/>
            <color indexed="81"/>
            <rFont val="Tahoma"/>
            <family val="2"/>
          </rPr>
          <t xml:space="preserve">
esimerkiksi maisemanhoitosopimukset</t>
        </r>
      </text>
    </comment>
    <comment ref="H17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Juha Pennala:</t>
        </r>
        <r>
          <rPr>
            <sz val="9"/>
            <color indexed="81"/>
            <rFont val="Tahoma"/>
            <family val="2"/>
          </rPr>
          <t xml:space="preserve">
Valitse merkitsemällä alla olevaan ruutuun x</t>
        </r>
      </text>
    </comment>
    <comment ref="H2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Juha Pennala:</t>
        </r>
        <r>
          <rPr>
            <sz val="9"/>
            <color indexed="81"/>
            <rFont val="Tahoma"/>
            <family val="2"/>
          </rPr>
          <t xml:space="preserve">
Valitse merkitsemällä alla olevaan ruutuun x</t>
        </r>
      </text>
    </comment>
    <comment ref="F21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Juha Pennala:</t>
        </r>
        <r>
          <rPr>
            <sz val="9"/>
            <color indexed="81"/>
            <rFont val="Tahoma"/>
            <family val="2"/>
          </rPr>
          <t xml:space="preserve">
ehdot täyttävä %osuus teurastettavista kileistä.</t>
        </r>
      </text>
    </comment>
    <comment ref="F23" authorId="0" shapeId="0" xr:uid="{E9A62F18-960C-4F10-B680-A00F50BD9EA8}">
      <text>
        <r>
          <rPr>
            <b/>
            <sz val="9"/>
            <color indexed="81"/>
            <rFont val="Tahoma"/>
            <charset val="1"/>
          </rPr>
          <t>Juha Pennala:</t>
        </r>
        <r>
          <rPr>
            <sz val="9"/>
            <color indexed="81"/>
            <rFont val="Tahoma"/>
            <charset val="1"/>
          </rPr>
          <t xml:space="preserve">
Merkitse soluun sopimusuuhien lukumäärä</t>
        </r>
      </text>
    </comment>
    <comment ref="H27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Juha Pennala:</t>
        </r>
        <r>
          <rPr>
            <sz val="9"/>
            <color indexed="81"/>
            <rFont val="Tahoma"/>
            <family val="2"/>
          </rPr>
          <t xml:space="preserve">
Valitse merkitsemällä alla olevaan ruutuun x</t>
        </r>
      </text>
    </comment>
    <comment ref="H36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Juha Pennala:</t>
        </r>
        <r>
          <rPr>
            <sz val="9"/>
            <color indexed="81"/>
            <rFont val="Tahoma"/>
            <family val="2"/>
          </rPr>
          <t xml:space="preserve">
Valitse merkitsemällä alla olevaan ruutuun x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Juha Pennala</author>
  </authors>
  <commentList>
    <comment ref="B23" authorId="0" shapeId="0" xr:uid="{91E43C04-1B51-4C1C-812F-935CDADDB86D}">
      <text>
        <r>
          <rPr>
            <b/>
            <sz val="9"/>
            <color indexed="81"/>
            <rFont val="Tahoma"/>
            <family val="2"/>
          </rPr>
          <t>Juha Pennala:</t>
        </r>
        <r>
          <rPr>
            <sz val="9"/>
            <color indexed="81"/>
            <rFont val="Tahoma"/>
            <family val="2"/>
          </rPr>
          <t xml:space="preserve">
Sisältää palkan sivukulut</t>
        </r>
      </text>
    </comment>
    <comment ref="B26" authorId="0" shapeId="0" xr:uid="{53F90954-04C3-4ED8-B28E-E87E787CE77B}">
      <text>
        <r>
          <rPr>
            <b/>
            <sz val="9"/>
            <color indexed="81"/>
            <rFont val="Tahoma"/>
            <family val="2"/>
          </rPr>
          <t>Juha Pennala:</t>
        </r>
        <r>
          <rPr>
            <sz val="9"/>
            <color indexed="81"/>
            <rFont val="Tahoma"/>
            <family val="2"/>
          </rPr>
          <t xml:space="preserve">
Sisältää palkan sivukulut</t>
        </r>
      </text>
    </comment>
  </commentList>
</comments>
</file>

<file path=xl/sharedStrings.xml><?xml version="1.0" encoding="utf-8"?>
<sst xmlns="http://schemas.openxmlformats.org/spreadsheetml/2006/main" count="389" uniqueCount="228">
  <si>
    <t>Tuotantopanosten käyttö</t>
  </si>
  <si>
    <t>kpl</t>
  </si>
  <si>
    <t>kg</t>
  </si>
  <si>
    <t>€/kg</t>
  </si>
  <si>
    <t>€</t>
  </si>
  <si>
    <t>Keskivuonuekoko</t>
  </si>
  <si>
    <t>Teuraspaino</t>
  </si>
  <si>
    <t>Alkuperäisrotutuki</t>
  </si>
  <si>
    <t>Muut tuet</t>
  </si>
  <si>
    <t>Uudistus-%</t>
  </si>
  <si>
    <t>Tuki €</t>
  </si>
  <si>
    <t>Hyvinvointikorvaus</t>
  </si>
  <si>
    <t>Muut muuttuvat kustannukset</t>
  </si>
  <si>
    <t>Poikimisia/kuttu/vuosi</t>
  </si>
  <si>
    <t>Poikimisia</t>
  </si>
  <si>
    <t>Vieroitettuja kilejä</t>
  </si>
  <si>
    <t>Vuohien ruokinta</t>
  </si>
  <si>
    <t>Vuohien pito-olosuhteiden parantaminen</t>
  </si>
  <si>
    <t>Vuohien hoito</t>
  </si>
  <si>
    <r>
      <t xml:space="preserve">Vuohien laidunnus ja jaloittelu </t>
    </r>
    <r>
      <rPr>
        <b/>
        <sz val="10"/>
        <rFont val="Arial"/>
        <family val="2"/>
      </rPr>
      <t>(a tai b)</t>
    </r>
  </si>
  <si>
    <t>a) vuohien laidunnus laidunkaudella ja jaloittelu laidunkauden ulkopuolella</t>
  </si>
  <si>
    <t>b) vuohien pitkäaikaisempi laidunnus laidunkaudella</t>
  </si>
  <si>
    <t>Maito meijeriin</t>
  </si>
  <si>
    <t>Kilit</t>
  </si>
  <si>
    <t>Teuraskilit</t>
  </si>
  <si>
    <t>Keskihinta</t>
  </si>
  <si>
    <t>Kilit eloon</t>
  </si>
  <si>
    <t>€/kpl</t>
  </si>
  <si>
    <t>Kutut</t>
  </si>
  <si>
    <t>Kutut eloon</t>
  </si>
  <si>
    <t>Teuraskutut</t>
  </si>
  <si>
    <t>Pukit</t>
  </si>
  <si>
    <t>Pukit eloon</t>
  </si>
  <si>
    <t>Kokonaistuotos (l)</t>
  </si>
  <si>
    <t>Maito</t>
  </si>
  <si>
    <t>Maito suoramyynti</t>
  </si>
  <si>
    <t>Maito jatkojalostukseen</t>
  </si>
  <si>
    <t>l</t>
  </si>
  <si>
    <t>€/l</t>
  </si>
  <si>
    <t>Tukialue</t>
  </si>
  <si>
    <t>AB</t>
  </si>
  <si>
    <t>C1</t>
  </si>
  <si>
    <t>C2</t>
  </si>
  <si>
    <t>C2, pohjoinen ja saaristo</t>
  </si>
  <si>
    <t>C3-P2</t>
  </si>
  <si>
    <t>C3-P3, P4</t>
  </si>
  <si>
    <t>C4-P4</t>
  </si>
  <si>
    <t>C4-P5</t>
  </si>
  <si>
    <t>Kuttupalkkio</t>
  </si>
  <si>
    <t>Pohjoinen kuttutuki</t>
  </si>
  <si>
    <t>Teuraskilipalkkio</t>
  </si>
  <si>
    <t>Tuet yhteensä</t>
  </si>
  <si>
    <t>Yhteensä</t>
  </si>
  <si>
    <t>Liha</t>
  </si>
  <si>
    <t>Eläimet, eloon</t>
  </si>
  <si>
    <t>Muut</t>
  </si>
  <si>
    <t>Myyntituotot yhteensä</t>
  </si>
  <si>
    <t>Myyntituotot</t>
  </si>
  <si>
    <t>Tuet</t>
  </si>
  <si>
    <t>Muuttuvat kustannukset</t>
  </si>
  <si>
    <t>Muuttuvat kustannukset yhteensä</t>
  </si>
  <si>
    <t>Työkustannukset</t>
  </si>
  <si>
    <t>Arvio työn menekistä</t>
  </si>
  <si>
    <t>tai</t>
  </si>
  <si>
    <t>Päivittäinen työaika</t>
  </si>
  <si>
    <t>h/päivä</t>
  </si>
  <si>
    <t>yhteensä</t>
  </si>
  <si>
    <t>Poisto</t>
  </si>
  <si>
    <t>Nykyarvo</t>
  </si>
  <si>
    <t>Hankintavuosi</t>
  </si>
  <si>
    <t>JHA:sta</t>
  </si>
  <si>
    <t>€/tuotettu maitolitra</t>
  </si>
  <si>
    <t>valitse</t>
  </si>
  <si>
    <t>x</t>
  </si>
  <si>
    <t>Vuohituotannon tuet</t>
  </si>
  <si>
    <t>TUOTOT</t>
  </si>
  <si>
    <t>Toimenpide</t>
  </si>
  <si>
    <t>Korvaus  €/ey</t>
  </si>
  <si>
    <t>Luonnonhaittakorvaus kotieläinkorotus</t>
  </si>
  <si>
    <t xml:space="preserve">Vaadittava eläintiheys </t>
  </si>
  <si>
    <t>ey</t>
  </si>
  <si>
    <t>Luomu kotieläinkorotus</t>
  </si>
  <si>
    <t>Eläinyksiköt</t>
  </si>
  <si>
    <t>Tukikelpoinen peltopinta-ala</t>
  </si>
  <si>
    <t>Eläintiheys (ey/ha)</t>
  </si>
  <si>
    <t>Peltotukien kotieläinkorotukset</t>
  </si>
  <si>
    <t>Ehto</t>
  </si>
  <si>
    <t>Minimi eläinmäärä</t>
  </si>
  <si>
    <t>Korvaus €/ha</t>
  </si>
  <si>
    <t>Ruhopaino yli 10 kg, ikä alle 12 kk.</t>
  </si>
  <si>
    <t>Korvaus  €/eläin</t>
  </si>
  <si>
    <t>Vuohia vähintään</t>
  </si>
  <si>
    <t>Sopimusuuhien lukumäärä</t>
  </si>
  <si>
    <t>terveydenhuolto</t>
  </si>
  <si>
    <t>raatokeräily</t>
  </si>
  <si>
    <t>lääkkeet, vitamiinit yms.</t>
  </si>
  <si>
    <t>Vuohien hoitotyöt</t>
  </si>
  <si>
    <t>Työtunnit vuodessa</t>
  </si>
  <si>
    <t>€/kuttu</t>
  </si>
  <si>
    <t>Suunnitteluvuosi</t>
  </si>
  <si>
    <t>Vieras vakituinen työntekijä</t>
  </si>
  <si>
    <t>Oma työ</t>
  </si>
  <si>
    <t>neuvonta</t>
  </si>
  <si>
    <t>eläkemaksut</t>
  </si>
  <si>
    <t>Ulkopuoliset palvelut</t>
  </si>
  <si>
    <t>jätehuolto</t>
  </si>
  <si>
    <t>Yleiskustannukset</t>
  </si>
  <si>
    <t>Kotoiset rehut</t>
  </si>
  <si>
    <t>K-pito%</t>
  </si>
  <si>
    <t>JA%</t>
  </si>
  <si>
    <t>Vuokra</t>
  </si>
  <si>
    <t>Kunnossapito</t>
  </si>
  <si>
    <t>Liikepääoma 30%</t>
  </si>
  <si>
    <t>KUSTANNUKSET</t>
  </si>
  <si>
    <t>Katetuottolaskenta</t>
  </si>
  <si>
    <t>Koko</t>
  </si>
  <si>
    <t>Jäännösarvo</t>
  </si>
  <si>
    <t xml:space="preserve">Vuohituotannon </t>
  </si>
  <si>
    <t>osuus</t>
  </si>
  <si>
    <t>arvo</t>
  </si>
  <si>
    <t>Jälleenhankinta-</t>
  </si>
  <si>
    <t>Taloudellinen</t>
  </si>
  <si>
    <t>käyttöikä</t>
  </si>
  <si>
    <t>Oman pääoman korko</t>
  </si>
  <si>
    <t>Kuttuja</t>
  </si>
  <si>
    <t>Uudistukseen</t>
  </si>
  <si>
    <t>Keskituotos (l)</t>
  </si>
  <si>
    <t>Vieraan pääoman korot</t>
  </si>
  <si>
    <t>Eläinpääoma</t>
  </si>
  <si>
    <t>Tuotot</t>
  </si>
  <si>
    <t>Ostorehut</t>
  </si>
  <si>
    <t>Katetuotto 1.</t>
  </si>
  <si>
    <t>Katetuotto 1. ilman tukia</t>
  </si>
  <si>
    <t>Katetuotto 2.</t>
  </si>
  <si>
    <t>Katetuotto 2. ilman tukia</t>
  </si>
  <si>
    <t>Tuotoskausia / kuttu</t>
  </si>
  <si>
    <t>Eläinpääoman korko</t>
  </si>
  <si>
    <t>Liikepääoman korko</t>
  </si>
  <si>
    <t>Lypsykuttu</t>
  </si>
  <si>
    <t>Muut tulot</t>
  </si>
  <si>
    <t>vakuutukset</t>
  </si>
  <si>
    <t>kilejä</t>
  </si>
  <si>
    <t>C2 pohjoinen ja saaristo</t>
  </si>
  <si>
    <t>Pohjoinen kotieläintuki</t>
  </si>
  <si>
    <t>C3-P1, P2</t>
  </si>
  <si>
    <t>pienkalusto</t>
  </si>
  <si>
    <t>puhelin</t>
  </si>
  <si>
    <t>lehdet</t>
  </si>
  <si>
    <t>jäsenmaksut</t>
  </si>
  <si>
    <t>työterveys</t>
  </si>
  <si>
    <t>säilörehu</t>
  </si>
  <si>
    <t>energia</t>
  </si>
  <si>
    <t>Aineet ja tarvikkeet</t>
  </si>
  <si>
    <t>hinta (€/kg)</t>
  </si>
  <si>
    <t>jauhatus (€/kg)</t>
  </si>
  <si>
    <t>ohran hinta (€/kg)</t>
  </si>
  <si>
    <t>kuiva-aine (g/kg)</t>
  </si>
  <si>
    <t>energia (MJ/kg ka)</t>
  </si>
  <si>
    <t>energia (MJ/kg)</t>
  </si>
  <si>
    <t>ohrajauho</t>
  </si>
  <si>
    <t>laidunrehu</t>
  </si>
  <si>
    <t>Säilörehun ja laidunrehun hinnat</t>
  </si>
  <si>
    <t>tarkista ja korjaa hinnat!</t>
  </si>
  <si>
    <t>muut kulut</t>
  </si>
  <si>
    <t>vuohinavetta</t>
  </si>
  <si>
    <t>toimisto ja kirjanpito</t>
  </si>
  <si>
    <t xml:space="preserve">Katetuotto 2:lla katetaan </t>
  </si>
  <si>
    <t>muista päivittää arvot!</t>
  </si>
  <si>
    <t>Työkustannus</t>
  </si>
  <si>
    <t>Lainaa (€)</t>
  </si>
  <si>
    <t>korko %</t>
  </si>
  <si>
    <t>kulu (€)</t>
  </si>
  <si>
    <t>Oma pääoma (€)</t>
  </si>
  <si>
    <t>Vieraan pääoman korko</t>
  </si>
  <si>
    <t>Oman pääoman korkovaatimus</t>
  </si>
  <si>
    <t>korkovaatimus (€)</t>
  </si>
  <si>
    <t>Myyntituotto</t>
  </si>
  <si>
    <t>Kilien teurastuotto</t>
  </si>
  <si>
    <t>ostorehut</t>
  </si>
  <si>
    <t>Pääoman korko</t>
  </si>
  <si>
    <t>kustannus (€)</t>
  </si>
  <si>
    <t>Yhteensä (€)</t>
  </si>
  <si>
    <t>laidun</t>
  </si>
  <si>
    <t>muut ostotarvikkeet</t>
  </si>
  <si>
    <t>sähkö</t>
  </si>
  <si>
    <t>vesi</t>
  </si>
  <si>
    <t>h/kuttu</t>
  </si>
  <si>
    <t>Suunnittelu, johtaminen ja toimisto</t>
  </si>
  <si>
    <t>Tuotot yhteensä</t>
  </si>
  <si>
    <t>Tuotto (€/kuttu)</t>
  </si>
  <si>
    <t>Tuotto (€/kuttu) ilman tukia</t>
  </si>
  <si>
    <t>Muuttuva kustannus (€/kuttu)</t>
  </si>
  <si>
    <t>Työkustannus (€/kuttu)</t>
  </si>
  <si>
    <t>Poistot</t>
  </si>
  <si>
    <t>Vakuutukset</t>
  </si>
  <si>
    <t>Vieraan pääoman korot + hoitokulut</t>
  </si>
  <si>
    <t>Pääoman korkovaatimus</t>
  </si>
  <si>
    <t>Verot</t>
  </si>
  <si>
    <t>Vuodessa</t>
  </si>
  <si>
    <t>Tunteja vuodessa</t>
  </si>
  <si>
    <t>Tuntipalkka (vieras)</t>
  </si>
  <si>
    <t>Tuntipalkka (oma)</t>
  </si>
  <si>
    <t>Kustannus vuodessa</t>
  </si>
  <si>
    <t>Vuohien käypä-arvo eläinpääoman laskemista varten</t>
  </si>
  <si>
    <t>Kuttujen teurastuotto</t>
  </si>
  <si>
    <t>Pukkeja</t>
  </si>
  <si>
    <t>Yhteensä €</t>
  </si>
  <si>
    <t>Muuttuvat kustannukset %-osuus tuotoista</t>
  </si>
  <si>
    <t>Taljat</t>
  </si>
  <si>
    <t>Traktori</t>
  </si>
  <si>
    <t>Kate 2 (€/kuttu)</t>
  </si>
  <si>
    <t>Kate 1 (€/kuttu)</t>
  </si>
  <si>
    <t>Kate 1 (€/kuttu) ilman tukia</t>
  </si>
  <si>
    <t>Kate 2 (€/kuttu) ilman tukia</t>
  </si>
  <si>
    <t>Toteutunut maidon hinta (€/l)</t>
  </si>
  <si>
    <t>Tuottavuus, (l/h)</t>
  </si>
  <si>
    <t>Kilien eloonjäämis-%</t>
  </si>
  <si>
    <t>Muut vuohet</t>
  </si>
  <si>
    <t>määrä (kg)</t>
  </si>
  <si>
    <t>Siemennys</t>
  </si>
  <si>
    <t>a)</t>
  </si>
  <si>
    <t>b)</t>
  </si>
  <si>
    <t>120kW</t>
  </si>
  <si>
    <t>Koneet</t>
  </si>
  <si>
    <t>Rakennukset</t>
  </si>
  <si>
    <t>200 kuttua</t>
  </si>
  <si>
    <t>Kustannus €/vuosi</t>
  </si>
  <si>
    <t>Käytössä ruokaviraston, liiketoimintasuunnitelman laadintaohjeen 2019 mukaiset käyvät arvot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</si>
</sst>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0.000"/>
    <numFmt numFmtId="166" formatCode="_-* #,##0\ &quot;€&quot;_-;\-* #,##0\ &quot;€&quot;_-;_-* &quot;-&quot;??\ &quot;€&quot;_-;_-@_-"/>
    <numFmt numFmtId="167" formatCode="0.0\ %"/>
    <numFmt numFmtId="168" formatCode="_-* #,##0.00\ [$€-40B]_-;\-* #,##0.00\ [$€-40B]_-;_-* &quot;-&quot;??\ [$€-40B]_-;_-@_-"/>
    <numFmt numFmtId="169" formatCode="_-* #,##0\ [$€-40B]_-;\-* #,##0\ [$€-40B]_-;_-* &quot;-&quot;??\ [$€-40B]_-;_-@_-"/>
    <numFmt numFmtId="170" formatCode="0.000000"/>
    <numFmt numFmtId="171" formatCode="_-* #,##0\ [$€-1]_-;\-* #,##0\ [$€-1]_-;_-* &quot;-&quot;??\ [$€-1]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13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color rgb="FF0070C0"/>
      <name val="Calibri"/>
      <family val="2"/>
      <scheme val="minor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B05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24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0" xfId="0" applyNumberFormat="1" applyBorder="1"/>
    <xf numFmtId="0" fontId="5" fillId="0" borderId="0" xfId="0" applyFont="1" applyBorder="1"/>
    <xf numFmtId="0" fontId="0" fillId="0" borderId="0" xfId="0" applyFill="1" applyBorder="1"/>
    <xf numFmtId="17" fontId="0" fillId="0" borderId="0" xfId="0" quotePrefix="1" applyNumberFormat="1"/>
    <xf numFmtId="0" fontId="5" fillId="0" borderId="12" xfId="0" applyFont="1" applyBorder="1"/>
    <xf numFmtId="0" fontId="0" fillId="2" borderId="15" xfId="0" applyFill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8" fillId="0" borderId="0" xfId="0" applyFont="1" applyBorder="1"/>
    <xf numFmtId="0" fontId="8" fillId="0" borderId="0" xfId="0" applyFont="1"/>
    <xf numFmtId="0" fontId="8" fillId="0" borderId="0" xfId="0" applyFont="1" applyFill="1" applyBorder="1"/>
    <xf numFmtId="0" fontId="8" fillId="0" borderId="6" xfId="0" applyFont="1" applyBorder="1"/>
    <xf numFmtId="0" fontId="0" fillId="0" borderId="0" xfId="0" applyNumberFormat="1" applyFill="1" applyBorder="1"/>
    <xf numFmtId="0" fontId="8" fillId="0" borderId="8" xfId="0" applyFont="1" applyBorder="1"/>
    <xf numFmtId="0" fontId="6" fillId="0" borderId="0" xfId="0" applyFont="1" applyBorder="1"/>
    <xf numFmtId="2" fontId="0" fillId="0" borderId="0" xfId="0" applyNumberFormat="1" applyBorder="1"/>
    <xf numFmtId="0" fontId="5" fillId="0" borderId="1" xfId="0" applyFont="1" applyBorder="1"/>
    <xf numFmtId="1" fontId="0" fillId="0" borderId="0" xfId="0" applyNumberFormat="1" applyBorder="1"/>
    <xf numFmtId="0" fontId="0" fillId="0" borderId="0" xfId="0" applyFont="1" applyFill="1" applyBorder="1"/>
    <xf numFmtId="0" fontId="8" fillId="0" borderId="5" xfId="0" applyFont="1" applyBorder="1"/>
    <xf numFmtId="0" fontId="8" fillId="0" borderId="7" xfId="0" applyFont="1" applyBorder="1"/>
    <xf numFmtId="0" fontId="8" fillId="0" borderId="21" xfId="0" applyFont="1" applyBorder="1"/>
    <xf numFmtId="0" fontId="5" fillId="0" borderId="22" xfId="0" applyFont="1" applyBorder="1"/>
    <xf numFmtId="0" fontId="0" fillId="0" borderId="0" xfId="0" applyFill="1" applyBorder="1" applyAlignment="1"/>
    <xf numFmtId="0" fontId="5" fillId="0" borderId="0" xfId="0" applyFont="1" applyFill="1" applyBorder="1" applyAlignment="1"/>
    <xf numFmtId="0" fontId="0" fillId="0" borderId="21" xfId="0" applyBorder="1"/>
    <xf numFmtId="0" fontId="8" fillId="0" borderId="23" xfId="0" applyFont="1" applyBorder="1"/>
    <xf numFmtId="0" fontId="5" fillId="0" borderId="23" xfId="0" applyFont="1" applyBorder="1"/>
    <xf numFmtId="0" fontId="5" fillId="0" borderId="21" xfId="0" applyFont="1" applyBorder="1" applyAlignment="1">
      <alignment horizontal="right"/>
    </xf>
    <xf numFmtId="2" fontId="0" fillId="0" borderId="7" xfId="0" applyNumberFormat="1" applyBorder="1"/>
    <xf numFmtId="0" fontId="12" fillId="0" borderId="0" xfId="0" applyFont="1" applyFill="1" applyBorder="1"/>
    <xf numFmtId="2" fontId="0" fillId="0" borderId="0" xfId="0" applyNumberFormat="1"/>
    <xf numFmtId="1" fontId="0" fillId="0" borderId="0" xfId="0" applyNumberFormat="1"/>
    <xf numFmtId="0" fontId="14" fillId="0" borderId="0" xfId="0" applyFont="1"/>
    <xf numFmtId="0" fontId="13" fillId="0" borderId="0" xfId="0" applyFont="1"/>
    <xf numFmtId="0" fontId="14" fillId="0" borderId="0" xfId="0" applyFont="1" applyBorder="1"/>
    <xf numFmtId="3" fontId="5" fillId="0" borderId="0" xfId="0" applyNumberFormat="1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>
      <alignment horizontal="left"/>
    </xf>
    <xf numFmtId="9" fontId="0" fillId="0" borderId="0" xfId="0" applyNumberFormat="1" applyFill="1" applyBorder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Fill="1" applyBorder="1"/>
    <xf numFmtId="0" fontId="3" fillId="0" borderId="0" xfId="0" applyFont="1" applyBorder="1"/>
    <xf numFmtId="167" fontId="16" fillId="0" borderId="0" xfId="2" applyNumberFormat="1" applyFont="1"/>
    <xf numFmtId="0" fontId="8" fillId="0" borderId="0" xfId="0" applyFont="1" applyBorder="1" applyAlignment="1"/>
    <xf numFmtId="0" fontId="3" fillId="0" borderId="0" xfId="0" applyFont="1" applyBorder="1" applyAlignment="1"/>
    <xf numFmtId="0" fontId="3" fillId="0" borderId="23" xfId="0" applyFont="1" applyBorder="1"/>
    <xf numFmtId="0" fontId="3" fillId="0" borderId="19" xfId="0" applyFont="1" applyBorder="1"/>
    <xf numFmtId="0" fontId="3" fillId="0" borderId="2" xfId="0" applyFont="1" applyBorder="1"/>
    <xf numFmtId="0" fontId="3" fillId="0" borderId="7" xfId="0" applyFont="1" applyBorder="1"/>
    <xf numFmtId="0" fontId="0" fillId="0" borderId="0" xfId="0"/>
    <xf numFmtId="0" fontId="0" fillId="0" borderId="7" xfId="0" applyBorder="1"/>
    <xf numFmtId="0" fontId="8" fillId="0" borderId="13" xfId="0" applyFont="1" applyBorder="1"/>
    <xf numFmtId="0" fontId="0" fillId="0" borderId="13" xfId="0" applyBorder="1"/>
    <xf numFmtId="0" fontId="5" fillId="0" borderId="13" xfId="0" applyFont="1" applyBorder="1" applyAlignment="1">
      <alignment horizontal="right"/>
    </xf>
    <xf numFmtId="0" fontId="3" fillId="0" borderId="2" xfId="0" applyFont="1" applyBorder="1" applyAlignment="1"/>
    <xf numFmtId="0" fontId="8" fillId="0" borderId="3" xfId="0" applyFont="1" applyBorder="1"/>
    <xf numFmtId="0" fontId="3" fillId="0" borderId="7" xfId="0" applyFont="1" applyFill="1" applyBorder="1" applyAlignment="1"/>
    <xf numFmtId="0" fontId="8" fillId="0" borderId="4" xfId="0" applyFont="1" applyBorder="1"/>
    <xf numFmtId="0" fontId="17" fillId="0" borderId="0" xfId="0" applyFont="1" applyBorder="1"/>
    <xf numFmtId="1" fontId="0" fillId="0" borderId="7" xfId="0" applyNumberFormat="1" applyBorder="1"/>
    <xf numFmtId="0" fontId="13" fillId="0" borderId="4" xfId="0" applyFont="1" applyBorder="1"/>
    <xf numFmtId="0" fontId="13" fillId="0" borderId="0" xfId="0" applyFont="1" applyBorder="1"/>
    <xf numFmtId="0" fontId="13" fillId="0" borderId="5" xfId="0" applyFont="1" applyBorder="1"/>
    <xf numFmtId="0" fontId="14" fillId="0" borderId="4" xfId="0" applyFont="1" applyBorder="1"/>
    <xf numFmtId="0" fontId="3" fillId="0" borderId="4" xfId="0" applyFont="1" applyBorder="1"/>
    <xf numFmtId="168" fontId="4" fillId="0" borderId="0" xfId="0" applyNumberFormat="1" applyFont="1"/>
    <xf numFmtId="0" fontId="3" fillId="0" borderId="5" xfId="0" applyFont="1" applyBorder="1"/>
    <xf numFmtId="1" fontId="0" fillId="0" borderId="5" xfId="0" applyNumberFormat="1" applyBorder="1"/>
    <xf numFmtId="0" fontId="0" fillId="0" borderId="0" xfId="0"/>
    <xf numFmtId="0" fontId="0" fillId="0" borderId="0" xfId="0"/>
    <xf numFmtId="0" fontId="2" fillId="0" borderId="0" xfId="0" applyFont="1" applyBorder="1"/>
    <xf numFmtId="0" fontId="8" fillId="0" borderId="4" xfId="0" applyFont="1" applyBorder="1"/>
    <xf numFmtId="0" fontId="8" fillId="0" borderId="0" xfId="0" applyFont="1" applyBorder="1"/>
    <xf numFmtId="0" fontId="0" fillId="0" borderId="7" xfId="0" applyBorder="1"/>
    <xf numFmtId="0" fontId="0" fillId="0" borderId="0" xfId="0"/>
    <xf numFmtId="1" fontId="0" fillId="0" borderId="0" xfId="2" applyNumberFormat="1" applyFont="1"/>
    <xf numFmtId="0" fontId="0" fillId="0" borderId="0" xfId="0"/>
    <xf numFmtId="166" fontId="5" fillId="0" borderId="0" xfId="0" applyNumberFormat="1" applyFont="1" applyBorder="1"/>
    <xf numFmtId="0" fontId="14" fillId="0" borderId="5" xfId="0" applyFont="1" applyBorder="1"/>
    <xf numFmtId="166" fontId="5" fillId="0" borderId="7" xfId="0" applyNumberFormat="1" applyFont="1" applyBorder="1"/>
    <xf numFmtId="0" fontId="8" fillId="0" borderId="0" xfId="0" applyFont="1" applyBorder="1"/>
    <xf numFmtId="0" fontId="8" fillId="0" borderId="0" xfId="0" applyFont="1" applyFill="1" applyBorder="1"/>
    <xf numFmtId="169" fontId="0" fillId="0" borderId="0" xfId="0" applyNumberFormat="1"/>
    <xf numFmtId="166" fontId="0" fillId="0" borderId="0" xfId="0" applyNumberFormat="1" applyBorder="1"/>
    <xf numFmtId="169" fontId="13" fillId="0" borderId="0" xfId="0" applyNumberFormat="1" applyFont="1" applyBorder="1"/>
    <xf numFmtId="1" fontId="14" fillId="0" borderId="0" xfId="0" applyNumberFormat="1" applyFont="1" applyBorder="1"/>
    <xf numFmtId="1" fontId="18" fillId="0" borderId="0" xfId="0" applyNumberFormat="1" applyFont="1" applyBorder="1"/>
    <xf numFmtId="1" fontId="19" fillId="0" borderId="0" xfId="0" applyNumberFormat="1" applyFont="1" applyBorder="1"/>
    <xf numFmtId="165" fontId="13" fillId="0" borderId="0" xfId="0" applyNumberFormat="1" applyFont="1" applyBorder="1"/>
    <xf numFmtId="0" fontId="0" fillId="0" borderId="0" xfId="0"/>
    <xf numFmtId="0" fontId="20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13" fillId="0" borderId="0" xfId="0" applyFont="1" applyProtection="1"/>
    <xf numFmtId="0" fontId="5" fillId="0" borderId="9" xfId="0" applyFont="1" applyBorder="1"/>
    <xf numFmtId="166" fontId="0" fillId="0" borderId="29" xfId="3" applyNumberFormat="1" applyFont="1" applyBorder="1"/>
    <xf numFmtId="166" fontId="5" fillId="0" borderId="14" xfId="3" applyNumberFormat="1" applyFont="1" applyBorder="1"/>
    <xf numFmtId="1" fontId="5" fillId="0" borderId="0" xfId="0" applyNumberFormat="1" applyFont="1" applyAlignment="1">
      <alignment horizontal="center"/>
    </xf>
    <xf numFmtId="170" fontId="23" fillId="0" borderId="0" xfId="0" applyNumberFormat="1" applyFont="1" applyBorder="1"/>
    <xf numFmtId="0" fontId="5" fillId="3" borderId="15" xfId="0" applyFont="1" applyFill="1" applyBorder="1" applyAlignment="1">
      <alignment horizontal="center"/>
    </xf>
    <xf numFmtId="0" fontId="24" fillId="0" borderId="0" xfId="0" applyFont="1"/>
    <xf numFmtId="0" fontId="13" fillId="0" borderId="0" xfId="0" applyFont="1" applyFill="1" applyBorder="1"/>
    <xf numFmtId="171" fontId="0" fillId="0" borderId="0" xfId="0" applyNumberFormat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2" fontId="3" fillId="0" borderId="0" xfId="0" applyNumberFormat="1" applyFont="1" applyBorder="1"/>
    <xf numFmtId="0" fontId="21" fillId="0" borderId="0" xfId="0" applyFont="1" applyBorder="1"/>
    <xf numFmtId="0" fontId="14" fillId="0" borderId="0" xfId="0" applyFont="1" applyAlignment="1">
      <alignment horizontal="center"/>
    </xf>
    <xf numFmtId="169" fontId="14" fillId="0" borderId="0" xfId="0" applyNumberFormat="1" applyFont="1" applyAlignment="1">
      <alignment horizontal="center"/>
    </xf>
    <xf numFmtId="167" fontId="14" fillId="0" borderId="0" xfId="2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0" fontId="0" fillId="0" borderId="0" xfId="0"/>
    <xf numFmtId="1" fontId="13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3" fillId="0" borderId="0" xfId="0" applyNumberFormat="1" applyFont="1" applyProtection="1"/>
    <xf numFmtId="0" fontId="0" fillId="0" borderId="0" xfId="0"/>
    <xf numFmtId="2" fontId="21" fillId="0" borderId="0" xfId="0" applyNumberFormat="1" applyFont="1" applyAlignment="1">
      <alignment horizontal="center"/>
    </xf>
    <xf numFmtId="167" fontId="14" fillId="0" borderId="0" xfId="2" applyNumberFormat="1" applyFont="1" applyFill="1" applyBorder="1" applyAlignment="1">
      <alignment horizontal="center"/>
    </xf>
    <xf numFmtId="166" fontId="5" fillId="0" borderId="0" xfId="3" applyNumberFormat="1" applyFont="1" applyBorder="1"/>
    <xf numFmtId="1" fontId="21" fillId="0" borderId="0" xfId="0" applyNumberFormat="1" applyFont="1" applyAlignment="1">
      <alignment horizontal="center"/>
    </xf>
    <xf numFmtId="0" fontId="8" fillId="0" borderId="0" xfId="0" applyFont="1" applyBorder="1"/>
    <xf numFmtId="1" fontId="5" fillId="0" borderId="0" xfId="0" applyNumberFormat="1" applyFont="1" applyBorder="1"/>
    <xf numFmtId="0" fontId="21" fillId="0" borderId="4" xfId="0" applyFont="1" applyBorder="1"/>
    <xf numFmtId="0" fontId="14" fillId="0" borderId="0" xfId="0" applyFont="1"/>
    <xf numFmtId="0" fontId="0" fillId="0" borderId="0" xfId="0"/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4" xfId="0" applyFont="1" applyBorder="1"/>
    <xf numFmtId="0" fontId="5" fillId="0" borderId="0" xfId="0" applyFont="1" applyBorder="1"/>
    <xf numFmtId="0" fontId="0" fillId="0" borderId="0" xfId="0" applyFill="1" applyBorder="1"/>
    <xf numFmtId="0" fontId="5" fillId="0" borderId="12" xfId="0" applyFont="1" applyBorder="1"/>
    <xf numFmtId="0" fontId="3" fillId="0" borderId="0" xfId="0" applyFont="1" applyFill="1" applyBorder="1"/>
    <xf numFmtId="0" fontId="3" fillId="0" borderId="0" xfId="0" applyFont="1"/>
    <xf numFmtId="0" fontId="3" fillId="0" borderId="6" xfId="0" applyFont="1" applyBorder="1"/>
    <xf numFmtId="0" fontId="5" fillId="0" borderId="1" xfId="0" applyFont="1" applyBorder="1"/>
    <xf numFmtId="0" fontId="14" fillId="0" borderId="0" xfId="0" applyFont="1"/>
    <xf numFmtId="0" fontId="13" fillId="0" borderId="0" xfId="0" applyFont="1"/>
    <xf numFmtId="0" fontId="14" fillId="0" borderId="0" xfId="0" applyFont="1" applyBorder="1"/>
    <xf numFmtId="0" fontId="5" fillId="0" borderId="0" xfId="0" applyFont="1" applyFill="1" applyBorder="1"/>
    <xf numFmtId="0" fontId="0" fillId="0" borderId="24" xfId="0" applyBorder="1"/>
    <xf numFmtId="0" fontId="3" fillId="0" borderId="4" xfId="0" applyFont="1" applyBorder="1"/>
    <xf numFmtId="0" fontId="0" fillId="0" borderId="11" xfId="0" applyBorder="1"/>
    <xf numFmtId="0" fontId="0" fillId="0" borderId="29" xfId="0" applyBorder="1"/>
    <xf numFmtId="169" fontId="0" fillId="0" borderId="0" xfId="0" applyNumberFormat="1" applyBorder="1"/>
    <xf numFmtId="0" fontId="5" fillId="0" borderId="9" xfId="0" applyFont="1" applyBorder="1"/>
    <xf numFmtId="0" fontId="5" fillId="0" borderId="11" xfId="0" applyFont="1" applyBorder="1"/>
    <xf numFmtId="0" fontId="5" fillId="0" borderId="12" xfId="0" applyFont="1" applyFill="1" applyBorder="1"/>
    <xf numFmtId="169" fontId="5" fillId="0" borderId="14" xfId="0" applyNumberFormat="1" applyFont="1" applyBorder="1"/>
    <xf numFmtId="0" fontId="5" fillId="0" borderId="9" xfId="0" applyFont="1" applyFill="1" applyBorder="1"/>
    <xf numFmtId="0" fontId="5" fillId="0" borderId="10" xfId="0" applyFont="1" applyBorder="1" applyAlignment="1">
      <alignment horizontal="center"/>
    </xf>
    <xf numFmtId="0" fontId="3" fillId="0" borderId="24" xfId="0" applyFont="1" applyBorder="1"/>
    <xf numFmtId="0" fontId="21" fillId="0" borderId="0" xfId="0" applyFont="1" applyFill="1" applyBorder="1"/>
    <xf numFmtId="0" fontId="14" fillId="0" borderId="0" xfId="0" applyFont="1" applyFill="1" applyBorder="1"/>
    <xf numFmtId="0" fontId="21" fillId="0" borderId="0" xfId="0" applyFont="1" applyBorder="1"/>
    <xf numFmtId="0" fontId="5" fillId="0" borderId="16" xfId="0" applyFont="1" applyBorder="1"/>
    <xf numFmtId="0" fontId="0" fillId="0" borderId="16" xfId="0" applyBorder="1"/>
    <xf numFmtId="0" fontId="0" fillId="0" borderId="23" xfId="0" applyBorder="1"/>
    <xf numFmtId="0" fontId="21" fillId="0" borderId="5" xfId="0" applyFont="1" applyBorder="1"/>
    <xf numFmtId="0" fontId="14" fillId="0" borderId="0" xfId="0" applyFont="1" applyFill="1" applyBorder="1" applyAlignment="1"/>
    <xf numFmtId="2" fontId="14" fillId="0" borderId="0" xfId="0" applyNumberFormat="1" applyFont="1" applyFill="1" applyBorder="1" applyAlignment="1"/>
    <xf numFmtId="0" fontId="14" fillId="0" borderId="0" xfId="0" applyFont="1" applyFill="1" applyBorder="1" applyAlignment="1">
      <alignment horizontal="right"/>
    </xf>
    <xf numFmtId="0" fontId="18" fillId="0" borderId="0" xfId="0" applyFont="1" applyFill="1" applyBorder="1"/>
    <xf numFmtId="2" fontId="14" fillId="0" borderId="0" xfId="0" applyNumberFormat="1" applyFont="1" applyFill="1" applyBorder="1"/>
    <xf numFmtId="0" fontId="8" fillId="0" borderId="18" xfId="0" applyFont="1" applyBorder="1"/>
    <xf numFmtId="0" fontId="0" fillId="0" borderId="5" xfId="0" applyFill="1" applyBorder="1"/>
    <xf numFmtId="3" fontId="3" fillId="0" borderId="6" xfId="0" applyNumberFormat="1" applyFont="1" applyBorder="1"/>
    <xf numFmtId="0" fontId="0" fillId="0" borderId="8" xfId="0" applyFill="1" applyBorder="1"/>
    <xf numFmtId="0" fontId="0" fillId="0" borderId="19" xfId="0" applyBorder="1"/>
    <xf numFmtId="17" fontId="3" fillId="0" borderId="0" xfId="0" quotePrefix="1" applyNumberFormat="1" applyFont="1"/>
    <xf numFmtId="165" fontId="0" fillId="0" borderId="0" xfId="0" applyNumberFormat="1"/>
    <xf numFmtId="169" fontId="5" fillId="0" borderId="0" xfId="0" applyNumberFormat="1" applyFont="1" applyBorder="1"/>
    <xf numFmtId="2" fontId="5" fillId="0" borderId="0" xfId="0" applyNumberFormat="1" applyFont="1" applyBorder="1"/>
    <xf numFmtId="2" fontId="5" fillId="0" borderId="0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0" fontId="18" fillId="0" borderId="0" xfId="0" applyFont="1"/>
    <xf numFmtId="0" fontId="22" fillId="0" borderId="0" xfId="0" applyFont="1" applyFill="1" applyBorder="1"/>
    <xf numFmtId="9" fontId="22" fillId="0" borderId="0" xfId="2" applyFont="1" applyFill="1" applyBorder="1"/>
    <xf numFmtId="1" fontId="1" fillId="0" borderId="0" xfId="0" applyNumberFormat="1" applyFont="1" applyFill="1" applyBorder="1"/>
    <xf numFmtId="167" fontId="1" fillId="0" borderId="0" xfId="2" applyNumberFormat="1" applyFont="1" applyFill="1" applyBorder="1"/>
    <xf numFmtId="167" fontId="22" fillId="0" borderId="0" xfId="2" applyNumberFormat="1" applyFont="1" applyFill="1" applyBorder="1"/>
    <xf numFmtId="1" fontId="5" fillId="0" borderId="0" xfId="0" applyNumberFormat="1" applyFont="1" applyFill="1" applyBorder="1"/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9" fontId="21" fillId="0" borderId="41" xfId="2" applyFont="1" applyFill="1" applyBorder="1" applyAlignment="1">
      <alignment horizontal="center"/>
    </xf>
    <xf numFmtId="0" fontId="22" fillId="0" borderId="44" xfId="0" applyFont="1" applyFill="1" applyBorder="1" applyAlignment="1">
      <alignment horizontal="center"/>
    </xf>
    <xf numFmtId="166" fontId="5" fillId="0" borderId="14" xfId="0" applyNumberFormat="1" applyFont="1" applyBorder="1"/>
    <xf numFmtId="0" fontId="0" fillId="0" borderId="7" xfId="0" applyBorder="1"/>
    <xf numFmtId="0" fontId="0" fillId="0" borderId="0" xfId="0"/>
    <xf numFmtId="0" fontId="0" fillId="0" borderId="7" xfId="0" applyBorder="1"/>
    <xf numFmtId="0" fontId="3" fillId="0" borderId="1" xfId="0" applyFont="1" applyBorder="1"/>
    <xf numFmtId="0" fontId="3" fillId="0" borderId="0" xfId="0" applyFont="1" applyProtection="1"/>
    <xf numFmtId="1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164" fontId="3" fillId="0" borderId="0" xfId="2" applyNumberFormat="1" applyFont="1" applyFill="1" applyBorder="1" applyAlignment="1" applyProtection="1">
      <alignment horizontal="center"/>
    </xf>
    <xf numFmtId="0" fontId="3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3" fillId="0" borderId="0" xfId="0" applyFont="1" applyBorder="1" applyAlignment="1" applyProtection="1"/>
    <xf numFmtId="169" fontId="0" fillId="0" borderId="0" xfId="0" applyNumberFormat="1" applyAlignment="1" applyProtection="1">
      <alignment horizontal="center"/>
    </xf>
    <xf numFmtId="0" fontId="5" fillId="0" borderId="11" xfId="0" applyFont="1" applyBorder="1" applyAlignment="1">
      <alignment horizontal="center"/>
    </xf>
    <xf numFmtId="169" fontId="0" fillId="0" borderId="31" xfId="0" applyNumberFormat="1" applyBorder="1" applyAlignment="1">
      <alignment horizontal="center"/>
    </xf>
    <xf numFmtId="169" fontId="0" fillId="0" borderId="29" xfId="0" applyNumberFormat="1" applyBorder="1" applyAlignment="1">
      <alignment horizontal="center"/>
    </xf>
    <xf numFmtId="169" fontId="0" fillId="0" borderId="28" xfId="0" applyNumberFormat="1" applyBorder="1" applyAlignment="1">
      <alignment horizontal="center"/>
    </xf>
    <xf numFmtId="169" fontId="0" fillId="0" borderId="37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169" fontId="5" fillId="0" borderId="14" xfId="0" applyNumberFormat="1" applyFont="1" applyBorder="1" applyAlignment="1">
      <alignment horizontal="center"/>
    </xf>
    <xf numFmtId="169" fontId="5" fillId="0" borderId="0" xfId="0" applyNumberFormat="1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" fontId="0" fillId="0" borderId="3" xfId="0" applyNumberFormat="1" applyBorder="1"/>
    <xf numFmtId="0" fontId="25" fillId="4" borderId="1" xfId="0" applyFont="1" applyFill="1" applyBorder="1"/>
    <xf numFmtId="0" fontId="14" fillId="4" borderId="2" xfId="0" applyFont="1" applyFill="1" applyBorder="1"/>
    <xf numFmtId="0" fontId="5" fillId="4" borderId="4" xfId="0" applyFont="1" applyFill="1" applyBorder="1"/>
    <xf numFmtId="0" fontId="3" fillId="4" borderId="4" xfId="0" applyFont="1" applyFill="1" applyBorder="1"/>
    <xf numFmtId="0" fontId="13" fillId="4" borderId="4" xfId="0" applyFont="1" applyFill="1" applyBorder="1"/>
    <xf numFmtId="1" fontId="13" fillId="4" borderId="0" xfId="0" applyNumberFormat="1" applyFont="1" applyFill="1" applyBorder="1" applyAlignment="1">
      <alignment horizontal="center"/>
    </xf>
    <xf numFmtId="2" fontId="13" fillId="4" borderId="5" xfId="0" applyNumberFormat="1" applyFont="1" applyFill="1" applyBorder="1" applyAlignment="1">
      <alignment horizontal="center"/>
    </xf>
    <xf numFmtId="2" fontId="13" fillId="4" borderId="8" xfId="0" applyNumberFormat="1" applyFont="1" applyFill="1" applyBorder="1" applyAlignment="1">
      <alignment horizontal="center"/>
    </xf>
    <xf numFmtId="0" fontId="5" fillId="4" borderId="16" xfId="0" applyFont="1" applyFill="1" applyBorder="1"/>
    <xf numFmtId="0" fontId="5" fillId="4" borderId="23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1" fontId="5" fillId="4" borderId="23" xfId="0" applyNumberFormat="1" applyFont="1" applyFill="1" applyBorder="1" applyAlignment="1">
      <alignment horizontal="center"/>
    </xf>
    <xf numFmtId="2" fontId="5" fillId="4" borderId="19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0" xfId="0" applyFont="1" applyFill="1" applyBorder="1" applyAlignment="1">
      <alignment horizontal="center"/>
    </xf>
    <xf numFmtId="1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6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3" fillId="0" borderId="0" xfId="0" applyFont="1" applyAlignment="1">
      <alignment horizontal="center"/>
    </xf>
    <xf numFmtId="0" fontId="4" fillId="4" borderId="1" xfId="0" applyFont="1" applyFill="1" applyBorder="1"/>
    <xf numFmtId="1" fontId="4" fillId="4" borderId="2" xfId="0" applyNumberFormat="1" applyFont="1" applyFill="1" applyBorder="1" applyAlignment="1">
      <alignment horizontal="center"/>
    </xf>
    <xf numFmtId="2" fontId="4" fillId="4" borderId="3" xfId="0" applyNumberFormat="1" applyFont="1" applyFill="1" applyBorder="1" applyAlignment="1">
      <alignment horizontal="center"/>
    </xf>
    <xf numFmtId="0" fontId="3" fillId="4" borderId="0" xfId="0" applyFont="1" applyFill="1" applyBorder="1"/>
    <xf numFmtId="1" fontId="4" fillId="4" borderId="0" xfId="0" applyNumberFormat="1" applyFont="1" applyFill="1" applyBorder="1" applyAlignment="1">
      <alignment horizontal="center"/>
    </xf>
    <xf numFmtId="0" fontId="25" fillId="4" borderId="6" xfId="0" applyFont="1" applyFill="1" applyBorder="1"/>
    <xf numFmtId="0" fontId="4" fillId="4" borderId="4" xfId="0" applyFont="1" applyFill="1" applyBorder="1"/>
    <xf numFmtId="2" fontId="4" fillId="4" borderId="5" xfId="0" applyNumberFormat="1" applyFont="1" applyFill="1" applyBorder="1" applyAlignment="1">
      <alignment horizontal="center"/>
    </xf>
    <xf numFmtId="1" fontId="24" fillId="4" borderId="0" xfId="0" applyNumberFormat="1" applyFont="1" applyFill="1" applyBorder="1" applyAlignment="1">
      <alignment horizontal="center"/>
    </xf>
    <xf numFmtId="2" fontId="24" fillId="4" borderId="5" xfId="0" applyNumberFormat="1" applyFont="1" applyFill="1" applyBorder="1" applyAlignment="1">
      <alignment horizontal="center"/>
    </xf>
    <xf numFmtId="0" fontId="26" fillId="4" borderId="4" xfId="0" applyFont="1" applyFill="1" applyBorder="1"/>
    <xf numFmtId="1" fontId="26" fillId="4" borderId="0" xfId="0" applyNumberFormat="1" applyFont="1" applyFill="1" applyBorder="1" applyAlignment="1">
      <alignment horizontal="center"/>
    </xf>
    <xf numFmtId="2" fontId="26" fillId="4" borderId="5" xfId="0" applyNumberFormat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5" fillId="4" borderId="15" xfId="0" applyNumberFormat="1" applyFont="1" applyFill="1" applyBorder="1" applyAlignment="1">
      <alignment horizontal="center"/>
    </xf>
    <xf numFmtId="1" fontId="4" fillId="4" borderId="35" xfId="0" applyNumberFormat="1" applyFont="1" applyFill="1" applyBorder="1" applyAlignment="1">
      <alignment horizontal="center"/>
    </xf>
    <xf numFmtId="0" fontId="3" fillId="4" borderId="18" xfId="0" applyFont="1" applyFill="1" applyBorder="1"/>
    <xf numFmtId="1" fontId="4" fillId="4" borderId="17" xfId="0" applyNumberFormat="1" applyFont="1" applyFill="1" applyBorder="1" applyAlignment="1">
      <alignment horizontal="center"/>
    </xf>
    <xf numFmtId="1" fontId="24" fillId="4" borderId="17" xfId="0" applyNumberFormat="1" applyFont="1" applyFill="1" applyBorder="1" applyAlignment="1">
      <alignment horizontal="center"/>
    </xf>
    <xf numFmtId="1" fontId="13" fillId="4" borderId="17" xfId="0" applyNumberFormat="1" applyFont="1" applyFill="1" applyBorder="1" applyAlignment="1">
      <alignment horizontal="center"/>
    </xf>
    <xf numFmtId="1" fontId="26" fillId="4" borderId="17" xfId="0" applyNumberFormat="1" applyFont="1" applyFill="1" applyBorder="1" applyAlignment="1">
      <alignment horizontal="center"/>
    </xf>
    <xf numFmtId="1" fontId="13" fillId="4" borderId="18" xfId="0" applyNumberFormat="1" applyFont="1" applyFill="1" applyBorder="1" applyAlignment="1">
      <alignment horizontal="center"/>
    </xf>
    <xf numFmtId="0" fontId="21" fillId="4" borderId="16" xfId="0" applyFont="1" applyFill="1" applyBorder="1"/>
    <xf numFmtId="0" fontId="21" fillId="4" borderId="23" xfId="0" applyFont="1" applyFill="1" applyBorder="1" applyAlignment="1">
      <alignment horizontal="center"/>
    </xf>
    <xf numFmtId="0" fontId="21" fillId="4" borderId="15" xfId="0" applyFont="1" applyFill="1" applyBorder="1" applyAlignment="1">
      <alignment horizontal="center"/>
    </xf>
    <xf numFmtId="0" fontId="21" fillId="4" borderId="19" xfId="0" applyFont="1" applyFill="1" applyBorder="1" applyAlignment="1">
      <alignment horizontal="center"/>
    </xf>
    <xf numFmtId="0" fontId="3" fillId="4" borderId="16" xfId="0" applyFont="1" applyFill="1" applyBorder="1"/>
    <xf numFmtId="0" fontId="4" fillId="4" borderId="6" xfId="0" applyFont="1" applyFill="1" applyBorder="1"/>
    <xf numFmtId="1" fontId="4" fillId="4" borderId="7" xfId="0" applyNumberFormat="1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1" fontId="4" fillId="4" borderId="18" xfId="0" applyNumberFormat="1" applyFont="1" applyFill="1" applyBorder="1" applyAlignment="1">
      <alignment horizontal="center"/>
    </xf>
    <xf numFmtId="0" fontId="4" fillId="0" borderId="27" xfId="0" applyFont="1" applyBorder="1"/>
    <xf numFmtId="0" fontId="0" fillId="3" borderId="15" xfId="0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9" fontId="3" fillId="3" borderId="15" xfId="0" applyNumberFormat="1" applyFont="1" applyFill="1" applyBorder="1" applyAlignment="1" applyProtection="1">
      <alignment horizontal="center"/>
      <protection locked="0"/>
    </xf>
    <xf numFmtId="9" fontId="3" fillId="3" borderId="15" xfId="2" applyFont="1" applyFill="1" applyBorder="1" applyAlignment="1" applyProtection="1">
      <alignment horizontal="center"/>
      <protection locked="0"/>
    </xf>
    <xf numFmtId="166" fontId="0" fillId="3" borderId="15" xfId="3" applyNumberFormat="1" applyFont="1" applyFill="1" applyBorder="1" applyAlignment="1" applyProtection="1">
      <alignment horizontal="center"/>
      <protection locked="0"/>
    </xf>
    <xf numFmtId="9" fontId="0" fillId="3" borderId="15" xfId="2" applyFont="1" applyFill="1" applyBorder="1" applyAlignment="1" applyProtection="1">
      <alignment horizontal="center"/>
      <protection locked="0"/>
    </xf>
    <xf numFmtId="0" fontId="3" fillId="3" borderId="15" xfId="1" applyNumberFormat="1" applyFont="1" applyFill="1" applyBorder="1" applyAlignment="1" applyProtection="1">
      <alignment horizontal="center"/>
      <protection locked="0"/>
    </xf>
    <xf numFmtId="0" fontId="0" fillId="3" borderId="15" xfId="0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13" fillId="3" borderId="15" xfId="0" applyFont="1" applyFill="1" applyBorder="1" applyProtection="1">
      <protection locked="0"/>
    </xf>
    <xf numFmtId="169" fontId="0" fillId="3" borderId="15" xfId="0" applyNumberFormat="1" applyFill="1" applyBorder="1" applyProtection="1">
      <protection locked="0"/>
    </xf>
    <xf numFmtId="169" fontId="0" fillId="3" borderId="17" xfId="0" applyNumberFormat="1" applyFill="1" applyBorder="1" applyProtection="1">
      <protection locked="0"/>
    </xf>
    <xf numFmtId="169" fontId="0" fillId="3" borderId="18" xfId="0" applyNumberFormat="1" applyFill="1" applyBorder="1" applyProtection="1">
      <protection locked="0"/>
    </xf>
    <xf numFmtId="1" fontId="8" fillId="0" borderId="35" xfId="0" applyNumberFormat="1" applyFont="1" applyBorder="1"/>
    <xf numFmtId="1" fontId="5" fillId="0" borderId="26" xfId="0" applyNumberFormat="1" applyFont="1" applyBorder="1"/>
    <xf numFmtId="169" fontId="4" fillId="0" borderId="0" xfId="0" applyNumberFormat="1" applyFont="1"/>
    <xf numFmtId="0" fontId="3" fillId="3" borderId="15" xfId="0" applyFont="1" applyFill="1" applyBorder="1" applyProtection="1">
      <protection locked="0"/>
    </xf>
    <xf numFmtId="9" fontId="0" fillId="3" borderId="15" xfId="2" applyFont="1" applyFill="1" applyBorder="1" applyProtection="1">
      <protection locked="0"/>
    </xf>
    <xf numFmtId="0" fontId="3" fillId="3" borderId="18" xfId="0" applyFont="1" applyFill="1" applyBorder="1" applyAlignment="1" applyProtection="1">
      <alignment horizontal="center"/>
      <protection locked="0"/>
    </xf>
    <xf numFmtId="0" fontId="5" fillId="0" borderId="13" xfId="0" applyFont="1" applyBorder="1" applyAlignment="1">
      <alignment horizontal="center"/>
    </xf>
    <xf numFmtId="0" fontId="3" fillId="3" borderId="32" xfId="0" applyFont="1" applyFill="1" applyBorder="1" applyAlignment="1" applyProtection="1">
      <alignment horizontal="left"/>
      <protection locked="0"/>
    </xf>
    <xf numFmtId="0" fontId="3" fillId="3" borderId="34" xfId="0" applyFont="1" applyFill="1" applyBorder="1" applyAlignment="1" applyProtection="1">
      <alignment horizontal="left"/>
      <protection locked="0"/>
    </xf>
    <xf numFmtId="0" fontId="0" fillId="3" borderId="36" xfId="0" applyFill="1" applyBorder="1" applyAlignment="1" applyProtection="1">
      <alignment horizontal="left"/>
      <protection locked="0"/>
    </xf>
    <xf numFmtId="165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35" xfId="0" applyFill="1" applyBorder="1" applyAlignment="1" applyProtection="1">
      <alignment horizontal="center"/>
      <protection locked="0"/>
    </xf>
    <xf numFmtId="0" fontId="3" fillId="3" borderId="33" xfId="0" applyFont="1" applyFill="1" applyBorder="1" applyAlignment="1" applyProtection="1">
      <alignment horizontal="left"/>
      <protection locked="0"/>
    </xf>
    <xf numFmtId="0" fontId="3" fillId="3" borderId="36" xfId="0" applyFont="1" applyFill="1" applyBorder="1" applyAlignment="1" applyProtection="1">
      <alignment horizontal="left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3" fillId="3" borderId="30" xfId="0" applyFont="1" applyFill="1" applyBorder="1" applyProtection="1">
      <protection locked="0"/>
    </xf>
    <xf numFmtId="0" fontId="3" fillId="3" borderId="24" xfId="0" applyFont="1" applyFill="1" applyBorder="1" applyProtection="1">
      <protection locked="0"/>
    </xf>
    <xf numFmtId="0" fontId="0" fillId="3" borderId="24" xfId="0" applyFill="1" applyBorder="1" applyProtection="1">
      <protection locked="0"/>
    </xf>
    <xf numFmtId="169" fontId="0" fillId="3" borderId="29" xfId="0" applyNumberFormat="1" applyFill="1" applyBorder="1" applyAlignment="1" applyProtection="1">
      <alignment horizontal="center"/>
      <protection locked="0"/>
    </xf>
    <xf numFmtId="169" fontId="0" fillId="3" borderId="31" xfId="0" applyNumberFormat="1" applyFill="1" applyBorder="1" applyAlignment="1" applyProtection="1">
      <alignment horizontal="center"/>
      <protection locked="0"/>
    </xf>
    <xf numFmtId="0" fontId="3" fillId="3" borderId="27" xfId="0" applyFont="1" applyFill="1" applyBorder="1" applyProtection="1">
      <protection locked="0"/>
    </xf>
    <xf numFmtId="169" fontId="0" fillId="3" borderId="28" xfId="0" applyNumberFormat="1" applyFill="1" applyBorder="1" applyAlignment="1" applyProtection="1">
      <alignment horizontal="center"/>
      <protection locked="0"/>
    </xf>
    <xf numFmtId="0" fontId="0" fillId="3" borderId="30" xfId="0" applyFill="1" applyBorder="1" applyProtection="1">
      <protection locked="0"/>
    </xf>
    <xf numFmtId="0" fontId="3" fillId="0" borderId="3" xfId="0" applyFont="1" applyBorder="1"/>
    <xf numFmtId="0" fontId="0" fillId="0" borderId="1" xfId="0" applyBorder="1"/>
    <xf numFmtId="0" fontId="0" fillId="3" borderId="16" xfId="0" applyFill="1" applyBorder="1" applyProtection="1">
      <protection locked="0"/>
    </xf>
    <xf numFmtId="44" fontId="3" fillId="3" borderId="15" xfId="5" applyFont="1" applyFill="1" applyBorder="1" applyProtection="1">
      <protection locked="0"/>
    </xf>
    <xf numFmtId="0" fontId="0" fillId="0" borderId="0" xfId="0" applyAlignment="1">
      <alignment horizontal="center"/>
    </xf>
    <xf numFmtId="0" fontId="5" fillId="0" borderId="7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3" fillId="3" borderId="32" xfId="0" applyFont="1" applyFill="1" applyBorder="1" applyProtection="1">
      <protection locked="0"/>
    </xf>
    <xf numFmtId="0" fontId="13" fillId="3" borderId="15" xfId="0" applyFont="1" applyFill="1" applyBorder="1" applyAlignment="1" applyProtection="1">
      <alignment horizontal="center"/>
      <protection locked="0"/>
    </xf>
    <xf numFmtId="9" fontId="22" fillId="3" borderId="15" xfId="2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1" fontId="1" fillId="3" borderId="23" xfId="0" applyNumberFormat="1" applyFont="1" applyFill="1" applyBorder="1" applyAlignment="1" applyProtection="1">
      <alignment horizontal="center"/>
      <protection locked="0"/>
    </xf>
    <xf numFmtId="0" fontId="22" fillId="3" borderId="17" xfId="0" applyFont="1" applyFill="1" applyBorder="1" applyAlignment="1" applyProtection="1">
      <alignment horizontal="center"/>
      <protection locked="0"/>
    </xf>
    <xf numFmtId="9" fontId="22" fillId="3" borderId="17" xfId="2" applyFont="1" applyFill="1" applyBorder="1" applyAlignment="1" applyProtection="1">
      <alignment horizontal="center"/>
      <protection locked="0"/>
    </xf>
    <xf numFmtId="0" fontId="22" fillId="3" borderId="0" xfId="0" applyFont="1" applyFill="1" applyBorder="1" applyAlignment="1" applyProtection="1">
      <alignment horizontal="center"/>
      <protection locked="0"/>
    </xf>
    <xf numFmtId="0" fontId="22" fillId="3" borderId="32" xfId="0" applyFont="1" applyFill="1" applyBorder="1" applyProtection="1">
      <protection locked="0"/>
    </xf>
    <xf numFmtId="0" fontId="22" fillId="3" borderId="15" xfId="0" applyFont="1" applyFill="1" applyBorder="1" applyAlignment="1" applyProtection="1">
      <alignment horizontal="center"/>
      <protection locked="0"/>
    </xf>
    <xf numFmtId="0" fontId="22" fillId="3" borderId="23" xfId="0" applyFont="1" applyFill="1" applyBorder="1" applyAlignment="1" applyProtection="1">
      <alignment horizontal="center"/>
      <protection locked="0"/>
    </xf>
    <xf numFmtId="0" fontId="22" fillId="3" borderId="34" xfId="0" applyFont="1" applyFill="1" applyBorder="1" applyProtection="1">
      <protection locked="0"/>
    </xf>
    <xf numFmtId="0" fontId="22" fillId="3" borderId="18" xfId="0" applyFont="1" applyFill="1" applyBorder="1" applyAlignment="1" applyProtection="1">
      <alignment horizontal="center"/>
      <protection locked="0"/>
    </xf>
    <xf numFmtId="9" fontId="22" fillId="3" borderId="18" xfId="2" applyFont="1" applyFill="1" applyBorder="1" applyAlignment="1" applyProtection="1">
      <alignment horizontal="center"/>
      <protection locked="0"/>
    </xf>
    <xf numFmtId="0" fontId="22" fillId="3" borderId="7" xfId="0" applyFont="1" applyFill="1" applyBorder="1" applyAlignment="1" applyProtection="1">
      <alignment horizontal="center"/>
      <protection locked="0"/>
    </xf>
    <xf numFmtId="169" fontId="0" fillId="3" borderId="31" xfId="0" applyNumberFormat="1" applyFill="1" applyBorder="1" applyProtection="1">
      <protection locked="0"/>
    </xf>
    <xf numFmtId="169" fontId="0" fillId="3" borderId="29" xfId="0" applyNumberFormat="1" applyFill="1" applyBorder="1" applyProtection="1">
      <protection locked="0"/>
    </xf>
    <xf numFmtId="0" fontId="0" fillId="3" borderId="42" xfId="0" applyFill="1" applyBorder="1" applyAlignment="1" applyProtection="1">
      <alignment horizontal="center"/>
      <protection locked="0"/>
    </xf>
    <xf numFmtId="9" fontId="0" fillId="3" borderId="43" xfId="2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69" fontId="13" fillId="0" borderId="29" xfId="3" applyNumberFormat="1" applyFont="1" applyBorder="1"/>
    <xf numFmtId="0" fontId="13" fillId="3" borderId="33" xfId="0" applyFont="1" applyFill="1" applyBorder="1" applyProtection="1">
      <protection locked="0"/>
    </xf>
    <xf numFmtId="0" fontId="13" fillId="3" borderId="17" xfId="0" applyFont="1" applyFill="1" applyBorder="1" applyAlignment="1" applyProtection="1">
      <alignment horizontal="center"/>
      <protection locked="0"/>
    </xf>
    <xf numFmtId="1" fontId="13" fillId="0" borderId="0" xfId="0" applyNumberFormat="1" applyFont="1" applyAlignment="1">
      <alignment horizontal="right"/>
    </xf>
    <xf numFmtId="166" fontId="13" fillId="0" borderId="0" xfId="3" applyNumberFormat="1" applyFont="1" applyFill="1" applyBorder="1" applyAlignment="1">
      <alignment horizontal="right"/>
    </xf>
    <xf numFmtId="169" fontId="13" fillId="0" borderId="0" xfId="0" applyNumberFormat="1" applyFont="1" applyFill="1" applyBorder="1" applyAlignment="1">
      <alignment horizontal="right"/>
    </xf>
    <xf numFmtId="9" fontId="13" fillId="0" borderId="0" xfId="2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169" fontId="13" fillId="0" borderId="0" xfId="0" applyNumberFormat="1" applyFont="1" applyAlignment="1">
      <alignment horizontal="right"/>
    </xf>
    <xf numFmtId="168" fontId="13" fillId="0" borderId="0" xfId="0" applyNumberFormat="1" applyFont="1" applyBorder="1" applyAlignment="1">
      <alignment horizontal="right"/>
    </xf>
    <xf numFmtId="0" fontId="21" fillId="0" borderId="0" xfId="0" applyFont="1" applyAlignment="1">
      <alignment horizontal="left"/>
    </xf>
    <xf numFmtId="168" fontId="0" fillId="0" borderId="0" xfId="0" applyNumberFormat="1"/>
    <xf numFmtId="1" fontId="5" fillId="0" borderId="0" xfId="0" applyNumberFormat="1" applyFont="1" applyBorder="1" applyAlignment="1">
      <alignment horizontal="center"/>
    </xf>
    <xf numFmtId="0" fontId="5" fillId="0" borderId="24" xfId="0" applyFont="1" applyBorder="1"/>
    <xf numFmtId="1" fontId="1" fillId="3" borderId="38" xfId="0" applyNumberFormat="1" applyFont="1" applyFill="1" applyBorder="1" applyAlignment="1" applyProtection="1">
      <alignment horizontal="center"/>
      <protection locked="0"/>
    </xf>
    <xf numFmtId="0" fontId="22" fillId="3" borderId="45" xfId="0" applyFont="1" applyFill="1" applyBorder="1" applyAlignment="1" applyProtection="1">
      <alignment horizontal="center"/>
      <protection locked="0"/>
    </xf>
    <xf numFmtId="0" fontId="22" fillId="3" borderId="38" xfId="0" applyFont="1" applyFill="1" applyBorder="1" applyAlignment="1" applyProtection="1">
      <alignment horizontal="center"/>
      <protection locked="0"/>
    </xf>
    <xf numFmtId="0" fontId="22" fillId="3" borderId="46" xfId="0" applyFont="1" applyFill="1" applyBorder="1" applyAlignment="1" applyProtection="1">
      <alignment horizontal="center"/>
      <protection locked="0"/>
    </xf>
    <xf numFmtId="0" fontId="5" fillId="0" borderId="14" xfId="0" applyFont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1" fontId="29" fillId="0" borderId="0" xfId="0" applyNumberFormat="1" applyFont="1" applyFill="1" applyBorder="1" applyAlignment="1">
      <alignment horizontal="center"/>
    </xf>
    <xf numFmtId="167" fontId="29" fillId="0" borderId="0" xfId="2" applyNumberFormat="1" applyFont="1" applyFill="1" applyBorder="1" applyAlignment="1" applyProtection="1">
      <alignment horizontal="center"/>
      <protection locked="0"/>
    </xf>
    <xf numFmtId="167" fontId="20" fillId="0" borderId="0" xfId="2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1" fontId="30" fillId="0" borderId="0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2" xfId="0" applyFont="1" applyFill="1" applyBorder="1"/>
    <xf numFmtId="0" fontId="5" fillId="0" borderId="16" xfId="0" applyFont="1" applyBorder="1"/>
    <xf numFmtId="0" fontId="5" fillId="0" borderId="23" xfId="0" applyFont="1" applyBorder="1"/>
    <xf numFmtId="0" fontId="8" fillId="0" borderId="4" xfId="0" applyFont="1" applyBorder="1"/>
    <xf numFmtId="0" fontId="8" fillId="0" borderId="0" xfId="0" applyFont="1" applyBorder="1"/>
    <xf numFmtId="0" fontId="0" fillId="0" borderId="16" xfId="0" applyBorder="1"/>
    <xf numFmtId="0" fontId="0" fillId="0" borderId="23" xfId="0" applyBorder="1"/>
    <xf numFmtId="0" fontId="8" fillId="0" borderId="4" xfId="0" applyFont="1" applyFill="1" applyBorder="1"/>
    <xf numFmtId="0" fontId="8" fillId="0" borderId="0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4" xfId="0" applyFont="1" applyBorder="1" applyAlignment="1"/>
    <xf numFmtId="0" fontId="8" fillId="0" borderId="0" xfId="0" applyFont="1" applyBorder="1" applyAlignment="1"/>
    <xf numFmtId="0" fontId="8" fillId="0" borderId="6" xfId="0" applyFont="1" applyBorder="1" applyAlignment="1"/>
    <xf numFmtId="0" fontId="8" fillId="0" borderId="7" xfId="0" applyFont="1" applyBorder="1" applyAlignment="1"/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0" fillId="0" borderId="10" xfId="0" applyBorder="1"/>
    <xf numFmtId="0" fontId="3" fillId="0" borderId="1" xfId="0" applyFont="1" applyBorder="1"/>
    <xf numFmtId="0" fontId="3" fillId="0" borderId="2" xfId="0" applyFont="1" applyBorder="1"/>
    <xf numFmtId="0" fontId="8" fillId="0" borderId="25" xfId="0" applyFont="1" applyBorder="1"/>
    <xf numFmtId="0" fontId="8" fillId="0" borderId="13" xfId="0" applyFont="1" applyBorder="1"/>
    <xf numFmtId="0" fontId="5" fillId="0" borderId="7" xfId="0" applyFont="1" applyBorder="1"/>
    <xf numFmtId="0" fontId="8" fillId="0" borderId="1" xfId="0" applyFont="1" applyBorder="1" applyAlignment="1"/>
    <xf numFmtId="0" fontId="8" fillId="0" borderId="2" xfId="0" applyFont="1" applyBorder="1" applyAlignment="1"/>
  </cellXfs>
  <cellStyles count="6">
    <cellStyle name="Normaali" xfId="0" builtinId="0"/>
    <cellStyle name="Pilkku" xfId="1" builtinId="3"/>
    <cellStyle name="Pilkku 2" xfId="4" xr:uid="{0E122248-FADD-4FD0-A70E-9A23AFC7F7E0}"/>
    <cellStyle name="Prosenttia" xfId="2" builtinId="5"/>
    <cellStyle name="Valuutta" xfId="3" builtinId="4"/>
    <cellStyle name="Valuutta 2" xfId="5" xr:uid="{099D67E8-7779-48F4-9363-44F700023053}"/>
  </cellStyles>
  <dxfs count="0"/>
  <tableStyles count="0" defaultTableStyle="TableStyleMedium9" defaultPivotStyle="PivotStyleLight16"/>
  <colors>
    <mruColors>
      <color rgb="FF99CC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Tuotot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71B-4C41-B5B6-05D3CC8A69F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71B-4C41-B5B6-05D3CC8A69F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71B-4C41-B5B6-05D3CC8A69FB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71B-4C41-B5B6-05D3CC8A69F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tint val="50000"/>
                      <a:satMod val="300000"/>
                    </a:schemeClr>
                  </a:gs>
                  <a:gs pos="35000">
                    <a:schemeClr val="accent5">
                      <a:tint val="37000"/>
                      <a:satMod val="300000"/>
                    </a:schemeClr>
                  </a:gs>
                  <a:gs pos="100000">
                    <a:schemeClr val="accent5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71B-4C41-B5B6-05D3CC8A69FB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tint val="50000"/>
                      <a:satMod val="300000"/>
                    </a:schemeClr>
                  </a:gs>
                  <a:gs pos="35000">
                    <a:schemeClr val="accent6">
                      <a:tint val="37000"/>
                      <a:satMod val="300000"/>
                    </a:schemeClr>
                  </a:gs>
                  <a:gs pos="100000">
                    <a:schemeClr val="accent6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71B-4C41-B5B6-05D3CC8A69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(Katelaskenta!$B$4:$B$7,Katelaskenta!$B$14)</c:f>
              <c:strCache>
                <c:ptCount val="5"/>
                <c:pt idx="0">
                  <c:v>Maito</c:v>
                </c:pt>
                <c:pt idx="1">
                  <c:v>Liha</c:v>
                </c:pt>
                <c:pt idx="2">
                  <c:v>Eläimet, eloon</c:v>
                </c:pt>
                <c:pt idx="3">
                  <c:v>Muut</c:v>
                </c:pt>
                <c:pt idx="4">
                  <c:v>Tuet yhteensä</c:v>
                </c:pt>
              </c:strCache>
            </c:strRef>
          </c:cat>
          <c:val>
            <c:numRef>
              <c:f>(Katelaskenta!$C$4:$C$7,Katelaskenta!$C$14)</c:f>
              <c:numCache>
                <c:formatCode>0</c:formatCode>
                <c:ptCount val="5"/>
                <c:pt idx="0" formatCode="General">
                  <c:v>75400</c:v>
                </c:pt>
                <c:pt idx="1">
                  <c:v>1750</c:v>
                </c:pt>
                <c:pt idx="2">
                  <c:v>1300</c:v>
                </c:pt>
                <c:pt idx="3" formatCode="General">
                  <c:v>300</c:v>
                </c:pt>
                <c:pt idx="4">
                  <c:v>41811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71B-4C41-B5B6-05D3CC8A69F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Kustannukset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Kustannukset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0A6-405A-81A7-CC385C35C39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0A6-405A-81A7-CC385C35C39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0A6-405A-81A7-CC385C35C39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0A6-405A-81A7-CC385C35C39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tint val="50000"/>
                      <a:satMod val="300000"/>
                    </a:schemeClr>
                  </a:gs>
                  <a:gs pos="35000">
                    <a:schemeClr val="accent5">
                      <a:tint val="37000"/>
                      <a:satMod val="300000"/>
                    </a:schemeClr>
                  </a:gs>
                  <a:gs pos="100000">
                    <a:schemeClr val="accent5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0A6-405A-81A7-CC385C35C39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tint val="50000"/>
                      <a:satMod val="300000"/>
                    </a:schemeClr>
                  </a:gs>
                  <a:gs pos="35000">
                    <a:schemeClr val="accent6">
                      <a:tint val="37000"/>
                      <a:satMod val="300000"/>
                    </a:schemeClr>
                  </a:gs>
                  <a:gs pos="100000">
                    <a:schemeClr val="accent6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D0A6-405A-81A7-CC385C35C39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1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1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D0A6-405A-81A7-CC385C35C395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2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2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D0A6-405A-81A7-CC385C35C395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3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3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D0A6-405A-81A7-CC385C35C395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4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4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D0A6-405A-81A7-CC385C35C395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5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5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5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D0A6-405A-81A7-CC385C35C395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6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6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6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D0A6-405A-81A7-CC385C35C395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tint val="50000"/>
                      <a:satMod val="300000"/>
                    </a:schemeClr>
                  </a:gs>
                  <a:gs pos="35000">
                    <a:schemeClr val="accent1">
                      <a:lumMod val="80000"/>
                      <a:lumOff val="20000"/>
                      <a:tint val="37000"/>
                      <a:satMod val="300000"/>
                    </a:schemeClr>
                  </a:gs>
                  <a:gs pos="100000">
                    <a:schemeClr val="accent1">
                      <a:lumMod val="80000"/>
                      <a:lumOff val="2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lumMod val="80000"/>
                    <a:lumOff val="2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D0A6-405A-81A7-CC385C35C395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tint val="50000"/>
                      <a:satMod val="300000"/>
                    </a:schemeClr>
                  </a:gs>
                  <a:gs pos="35000">
                    <a:schemeClr val="accent2">
                      <a:lumMod val="80000"/>
                      <a:lumOff val="20000"/>
                      <a:tint val="37000"/>
                      <a:satMod val="300000"/>
                    </a:schemeClr>
                  </a:gs>
                  <a:gs pos="100000">
                    <a:schemeClr val="accent2">
                      <a:lumMod val="80000"/>
                      <a:lumOff val="2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lumMod val="80000"/>
                    <a:lumOff val="2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D0A6-405A-81A7-CC385C35C395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tint val="50000"/>
                      <a:satMod val="300000"/>
                    </a:schemeClr>
                  </a:gs>
                  <a:gs pos="35000">
                    <a:schemeClr val="accent3">
                      <a:lumMod val="80000"/>
                      <a:lumOff val="20000"/>
                      <a:tint val="37000"/>
                      <a:satMod val="300000"/>
                    </a:schemeClr>
                  </a:gs>
                  <a:gs pos="100000">
                    <a:schemeClr val="accent3">
                      <a:lumMod val="80000"/>
                      <a:lumOff val="2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lumMod val="80000"/>
                    <a:lumOff val="2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D0A6-405A-81A7-CC385C35C395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tint val="50000"/>
                      <a:satMod val="300000"/>
                    </a:schemeClr>
                  </a:gs>
                  <a:gs pos="35000">
                    <a:schemeClr val="accent4">
                      <a:lumMod val="80000"/>
                      <a:lumOff val="20000"/>
                      <a:tint val="37000"/>
                      <a:satMod val="300000"/>
                    </a:schemeClr>
                  </a:gs>
                  <a:gs pos="100000">
                    <a:schemeClr val="accent4">
                      <a:lumMod val="80000"/>
                      <a:lumOff val="2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lumMod val="80000"/>
                    <a:lumOff val="2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D0A6-405A-81A7-CC385C35C3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(Katelaskenta!$B$19:$B$25,Katelaskenta!$B$33:$B$34)</c:f>
              <c:strCache>
                <c:ptCount val="9"/>
                <c:pt idx="0">
                  <c:v>Kotoiset rehut</c:v>
                </c:pt>
                <c:pt idx="1">
                  <c:v>Ostorehut</c:v>
                </c:pt>
                <c:pt idx="2">
                  <c:v>Aineet ja tarvikkeet</c:v>
                </c:pt>
                <c:pt idx="3">
                  <c:v>Ulkopuoliset palvelut</c:v>
                </c:pt>
                <c:pt idx="4">
                  <c:v>Muut muuttuvat kustannukset</c:v>
                </c:pt>
                <c:pt idx="5">
                  <c:v>Eläinpääoman korko</c:v>
                </c:pt>
                <c:pt idx="6">
                  <c:v>Liikepääoman korko</c:v>
                </c:pt>
                <c:pt idx="7">
                  <c:v>Vieras vakituinen työntekijä</c:v>
                </c:pt>
                <c:pt idx="8">
                  <c:v>Oma työ</c:v>
                </c:pt>
              </c:strCache>
            </c:strRef>
          </c:cat>
          <c:val>
            <c:numRef>
              <c:f>(Katelaskenta!$C$19:$C$25,Katelaskenta!$C$33:$C$34)</c:f>
              <c:numCache>
                <c:formatCode>0</c:formatCode>
                <c:ptCount val="9"/>
                <c:pt idx="0">
                  <c:v>8160.0000000000009</c:v>
                </c:pt>
                <c:pt idx="1">
                  <c:v>12005</c:v>
                </c:pt>
                <c:pt idx="2">
                  <c:v>4600</c:v>
                </c:pt>
                <c:pt idx="3" formatCode="General">
                  <c:v>400</c:v>
                </c:pt>
                <c:pt idx="4" formatCode="General">
                  <c:v>7350</c:v>
                </c:pt>
                <c:pt idx="5">
                  <c:v>790</c:v>
                </c:pt>
                <c:pt idx="6">
                  <c:v>1159.7250000000001</c:v>
                </c:pt>
                <c:pt idx="7">
                  <c:v>4800</c:v>
                </c:pt>
                <c:pt idx="8">
                  <c:v>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0A6-405A-81A7-CC385C35C39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3</xdr:row>
      <xdr:rowOff>28575</xdr:rowOff>
    </xdr:from>
    <xdr:to>
      <xdr:col>1</xdr:col>
      <xdr:colOff>605790</xdr:colOff>
      <xdr:row>7</xdr:row>
      <xdr:rowOff>34290</xdr:rowOff>
    </xdr:to>
    <xdr:pic>
      <xdr:nvPicPr>
        <xdr:cNvPr id="2" name="Kuva 3" descr="ProAgria-logo_pieni.T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90500"/>
          <a:ext cx="5048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714375</xdr:colOff>
      <xdr:row>0</xdr:row>
      <xdr:rowOff>66676</xdr:rowOff>
    </xdr:from>
    <xdr:to>
      <xdr:col>10</xdr:col>
      <xdr:colOff>228600</xdr:colOff>
      <xdr:row>16</xdr:row>
      <xdr:rowOff>123826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1C50629E-302F-4E62-9CAC-1C9C20AF1388}"/>
            </a:ext>
          </a:extLst>
        </xdr:cNvPr>
        <xdr:cNvSpPr txBox="1"/>
      </xdr:nvSpPr>
      <xdr:spPr>
        <a:xfrm>
          <a:off x="4248150" y="66676"/>
          <a:ext cx="5076825" cy="2724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Ohje: </a:t>
          </a:r>
          <a:r>
            <a:rPr lang="fi-FI"/>
            <a:t> </a:t>
          </a:r>
        </a:p>
        <a:p>
          <a:r>
            <a:rPr lang="fi-F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Vihreäpohjaisiin ruutuihin merkitään laskelmakohtaiset tiedot.</a:t>
          </a:r>
          <a:r>
            <a:rPr lang="fi-FI"/>
            <a:t> </a:t>
          </a:r>
        </a:p>
        <a:p>
          <a:r>
            <a:rPr lang="fi-F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Vaaleapohjaiset ruudut sisältävät kaavan. Kaavaruudut on lukittu vahinkojen välttämiseksi.</a:t>
          </a:r>
        </a:p>
        <a:p>
          <a:endParaRPr lang="fi-FI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Laskurilla lasketaan vai vuohituotannon osuutta</a:t>
          </a:r>
          <a:r>
            <a:rPr lang="fi-FI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maataloudesta. Tuotoissa ja kustannuksissa huomioidaan vain vuohituotannon osuus.</a:t>
          </a:r>
          <a:endParaRPr lang="fi-FI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i-FI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i-FI" sz="1100"/>
            <a:t>Laskuri laskee vain vuohituotannon</a:t>
          </a:r>
          <a:r>
            <a:rPr lang="fi-FI" sz="1100" baseline="0"/>
            <a:t> katetuottoa. Katetuotto ilmaisee kyseisen tuotannonhaaran kannattavuutta. Laskurin tulosten perusteella </a:t>
          </a:r>
          <a:r>
            <a:rPr lang="fi-FI" sz="1100" baseline="0">
              <a:solidFill>
                <a:srgbClr val="FF0000"/>
              </a:solidFill>
            </a:rPr>
            <a:t>EI VOI</a:t>
          </a:r>
          <a:r>
            <a:rPr lang="fi-FI" sz="1100" baseline="0"/>
            <a:t> tehdä päätelmiä koko tilan kannattavuudesta.</a:t>
          </a:r>
        </a:p>
        <a:p>
          <a:endParaRPr lang="fi-FI" sz="1100" baseline="0"/>
        </a:p>
        <a:p>
          <a:r>
            <a:rPr lang="fi-FI" sz="1100" baseline="0"/>
            <a:t>Punainen kolmio solun oikeassa yläkulmassa tarkoittaa, että solu sisältää muistiinpanon. Muistiinpanon saa näkyviin viemällä kursorin solun päälle. Esimerkki solu C15.</a:t>
          </a:r>
          <a:endParaRPr lang="fi-FI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10584</xdr:rowOff>
    </xdr:from>
    <xdr:to>
      <xdr:col>10</xdr:col>
      <xdr:colOff>889000</xdr:colOff>
      <xdr:row>13</xdr:row>
      <xdr:rowOff>148167</xdr:rowOff>
    </xdr:to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9B0DBDEC-3FF5-40B3-835A-1F5B9BF7A711}"/>
            </a:ext>
          </a:extLst>
        </xdr:cNvPr>
        <xdr:cNvSpPr txBox="1"/>
      </xdr:nvSpPr>
      <xdr:spPr>
        <a:xfrm>
          <a:off x="4720167" y="370417"/>
          <a:ext cx="6921500" cy="19790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Ohje</a:t>
          </a:r>
          <a:r>
            <a:rPr lang="fi-F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r>
            <a:rPr lang="fi-F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Tukilaskuri huomioi eläinyksikkölaskennassa</a:t>
          </a:r>
          <a:r>
            <a:rPr lang="fi-FI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vain kutut ja pukit.</a:t>
          </a:r>
          <a:endParaRPr lang="fi-FI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i-FI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Tukialue</a:t>
          </a:r>
          <a:r>
            <a:rPr lang="fi-F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Valitse solu C4. Alasvetovalikosta</a:t>
          </a:r>
          <a:r>
            <a:rPr lang="fi-FI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voit valita tukialueen</a:t>
          </a:r>
          <a:r>
            <a:rPr lang="fi-F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fi-FI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Tukikelpoinen peltopinta-ala</a:t>
          </a:r>
          <a:r>
            <a:rPr lang="fi-F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Merkitse soluun C5 tukikelpoisen peltopinta-alan</a:t>
          </a:r>
          <a:r>
            <a:rPr lang="fi-FI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määrä.</a:t>
          </a:r>
        </a:p>
        <a:p>
          <a:r>
            <a:rPr lang="fi-FI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Tuet</a:t>
          </a:r>
          <a:r>
            <a:rPr lang="fi-F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Laskennassa</a:t>
          </a:r>
          <a:r>
            <a:rPr lang="fi-FI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huomioitavat tuet valitaan sarakkeen H vihreäpohjaisissa soluissa. Merkitse soluun "x", mikäli tuki huomioidaan laskennassa. </a:t>
          </a:r>
        </a:p>
        <a:p>
          <a:r>
            <a:rPr lang="fi-FI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Teuraskilipalkkio</a:t>
          </a:r>
          <a:r>
            <a:rPr lang="fi-FI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Soluun F20 merkitään arvioitu %-osuus tukiehdot täyttävistä kileistä. Kilimäärä tulee "myyntituotot" välilehden solusta B12</a:t>
          </a:r>
        </a:p>
        <a:p>
          <a:r>
            <a:rPr lang="fi-FI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Alkuperäisrotutuki</a:t>
          </a:r>
          <a:r>
            <a:rPr lang="fi-FI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Soluun F23 merkitään sopimusuuhien lukumäärä.</a:t>
          </a:r>
        </a:p>
        <a:p>
          <a:r>
            <a:rPr lang="fi-FI" sz="1100"/>
            <a:t>Pohjoisen kotieläintuen tukitasojen muutokset voi muuttaa vieressä (oikealla puolella) olevaan taulukkoon. Poista ensin taulukon suojaus.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14</xdr:row>
      <xdr:rowOff>0</xdr:rowOff>
    </xdr:from>
    <xdr:to>
      <xdr:col>13</xdr:col>
      <xdr:colOff>38100</xdr:colOff>
      <xdr:row>23</xdr:row>
      <xdr:rowOff>133350</xdr:rowOff>
    </xdr:to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9D41CAF9-B021-42E3-ACE4-A6681ED67AD8}"/>
            </a:ext>
          </a:extLst>
        </xdr:cNvPr>
        <xdr:cNvSpPr txBox="1"/>
      </xdr:nvSpPr>
      <xdr:spPr>
        <a:xfrm>
          <a:off x="9505950" y="2333625"/>
          <a:ext cx="7200900" cy="1609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/>
            <a:t>Ohje: </a:t>
          </a:r>
        </a:p>
        <a:p>
          <a:r>
            <a:rPr lang="fi-FI" sz="1100" b="1"/>
            <a:t>Rehut</a:t>
          </a:r>
          <a:r>
            <a:rPr lang="fi-FI" sz="1100"/>
            <a:t>: Voidaan käsitellä myös kokonais</a:t>
          </a:r>
          <a:r>
            <a:rPr lang="fi-FI" sz="1100" baseline="0"/>
            <a:t>summana. Määrä soluun merkataan "1" ja €/kg soluun merkataan kokonaiskustannus.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Muista</a:t>
          </a: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päivittää rehujen hinnat laskelmaa tehdessäsi.</a:t>
          </a:r>
          <a:endParaRPr lang="fi-FI" sz="1100" baseline="0"/>
        </a:p>
        <a:p>
          <a:r>
            <a:rPr lang="fi-FI" sz="1100" baseline="0"/>
            <a:t>Yllä olevassa taulukossa voidaan arvioida säilörehun ja laidunrehun hintaa. Laskuri perustuu vaihtoehtoisarvoon. Ohrajauhon hinta ja tuotannollinen vaikutus suhteutetaan karkearehujen tuotannolliseen vaikutukseen.</a:t>
          </a:r>
        </a:p>
        <a:p>
          <a:r>
            <a:rPr lang="fi-FI" sz="1100" b="1" baseline="0"/>
            <a:t>Muuttuvat kustannukset</a:t>
          </a:r>
          <a:r>
            <a:rPr lang="fi-FI" sz="1100" baseline="0"/>
            <a:t> ovat suoraan tuotantoon liittyviä tuotannon volyymin mukaan muuttuvia kustannuksia.</a:t>
          </a:r>
        </a:p>
        <a:p>
          <a:r>
            <a:rPr lang="fi-FI" sz="1100" b="1" baseline="0"/>
            <a:t>Lisää</a:t>
          </a:r>
          <a:r>
            <a:rPr lang="fi-FI" sz="1100" baseline="0"/>
            <a:t> (tai poista) nimikkeitä ja summia tarpeesi mukaan.</a:t>
          </a:r>
        </a:p>
        <a:p>
          <a:endParaRPr lang="fi-FI" sz="1100" baseline="0"/>
        </a:p>
        <a:p>
          <a:endParaRPr lang="fi-FI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2</xdr:row>
      <xdr:rowOff>7621</xdr:rowOff>
    </xdr:from>
    <xdr:to>
      <xdr:col>14</xdr:col>
      <xdr:colOff>184785</xdr:colOff>
      <xdr:row>13</xdr:row>
      <xdr:rowOff>60961</xdr:rowOff>
    </xdr:to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247CB511-FCC5-4F91-8CB0-46DECDEC113F}"/>
            </a:ext>
          </a:extLst>
        </xdr:cNvPr>
        <xdr:cNvSpPr txBox="1"/>
      </xdr:nvSpPr>
      <xdr:spPr>
        <a:xfrm>
          <a:off x="5114925" y="342901"/>
          <a:ext cx="598170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/>
            <a:t>Ohje: Arvioi vuohituotantoon</a:t>
          </a:r>
          <a:r>
            <a:rPr lang="fi-FI" sz="1100" b="1" baseline="0"/>
            <a:t> kuluva työaika</a:t>
          </a:r>
          <a:endParaRPr lang="fi-FI" sz="1100" b="1"/>
        </a:p>
        <a:p>
          <a:r>
            <a:rPr lang="fi-FI" sz="1100" b="1"/>
            <a:t>Työnmenekin </a:t>
          </a:r>
          <a:r>
            <a:rPr lang="fi-FI" sz="1100"/>
            <a:t>voi arvioida kahdella tavalla.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Päivittäinen työaika</a:t>
          </a:r>
          <a:endParaRPr lang="fi-FI" sz="1100"/>
        </a:p>
        <a:p>
          <a:r>
            <a:rPr lang="fi-FI" sz="1100"/>
            <a:t>b) Koko</a:t>
          </a:r>
          <a:r>
            <a:rPr lang="fi-FI" sz="1100" baseline="0"/>
            <a:t> vuoden työmäärä jaettuna kuttua kohden.</a:t>
          </a:r>
        </a:p>
        <a:p>
          <a:r>
            <a:rPr lang="fi-FI" sz="1100" b="1"/>
            <a:t>Vieraan vakituisen työntekijän työtuntimäärä</a:t>
          </a:r>
          <a:r>
            <a:rPr lang="fi-FI" sz="1100" b="1" baseline="0"/>
            <a:t> </a:t>
          </a:r>
          <a:r>
            <a:rPr lang="fi-FI" sz="1100" baseline="0"/>
            <a:t>merkataan ruutuun E18</a:t>
          </a:r>
        </a:p>
        <a:p>
          <a:r>
            <a:rPr lang="fi-FI" sz="1100" b="1"/>
            <a:t>Tuntipalkka vaatimukset</a:t>
          </a:r>
          <a:r>
            <a:rPr lang="fi-FI" sz="1100" b="1" baseline="0"/>
            <a:t> </a:t>
          </a:r>
          <a:r>
            <a:rPr lang="fi-FI" sz="1100" baseline="0"/>
            <a:t>(sisältäen oheiskulut) vierastyö soluun B23 ja omatyö soluun B26. </a:t>
          </a:r>
          <a:endParaRPr lang="fi-FI" sz="1100"/>
        </a:p>
      </xdr:txBody>
    </xdr:sp>
    <xdr:clientData/>
  </xdr:twoCellAnchor>
  <xdr:twoCellAnchor>
    <xdr:from>
      <xdr:col>5</xdr:col>
      <xdr:colOff>406400</xdr:colOff>
      <xdr:row>13</xdr:row>
      <xdr:rowOff>152400</xdr:rowOff>
    </xdr:from>
    <xdr:to>
      <xdr:col>17</xdr:col>
      <xdr:colOff>406399</xdr:colOff>
      <xdr:row>35</xdr:row>
      <xdr:rowOff>16933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6E3231BC-D968-439E-A5D9-B32C6A98D413}"/>
            </a:ext>
          </a:extLst>
        </xdr:cNvPr>
        <xdr:cNvSpPr txBox="1"/>
      </xdr:nvSpPr>
      <xdr:spPr>
        <a:xfrm>
          <a:off x="5130800" y="2353733"/>
          <a:ext cx="8009466" cy="35898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Oman työn palkkavaatimuksen laskentaperusteet</a:t>
          </a:r>
          <a:endParaRPr lang="fi-F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Viimeisimmät laajat Maaseudun Työnantajaliiton kokoamat palkkatilastot ovat toukokuulta 2014. Siinä tilastossa maataloustyöntekijöiden kokonaiskeskituntiansio oli 11,80 euroa/tunti (kokonaiskeskituntiansiot: yleiset työt 11,66 euroa/tunti ja kotieläinten hoitotyöt 11,94 euroa/tunti). Näiden tietojen perusteella arvioitu maataloustyöntekijöiden keskimääräinen palkka vuonna 2014 oli noin 11,80 euroa/tunti. Palkkaryhmä 5:n tuntipalkka on vuonna 2018 keskimäärin noin 10,31 euroa/tunti ja vastaava tuntipalkka oli 9,93 euroa/tunti vuonna 2014. Muutos oli + 3,8 %. Sen muutoksen perusteella laskettu arvio maataloustyöntekijän vuoden 2018 keskimääräiseksi palkaksi on 12,25 euroa/tunti.</a:t>
          </a:r>
        </a:p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Jos maatalousyrittäjä olisi vieraan palveluksessa, hän saisi palkan myös loma‑, sairas‑ yms. vapaapäiviltä.</a:t>
          </a:r>
        </a:p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Muut kuin työssäoloajan palkat vuonna 2018 (lähde: Maaseudun Työnantajaliitto) vakinaisilla työntekijöillä:</a:t>
          </a:r>
        </a:p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 arkipyhäkorvaukset 3,87 %</a:t>
          </a:r>
        </a:p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 vuosilomapalkat ja lomaltapaluurahat 18,16 %</a:t>
          </a:r>
        </a:p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 työajan lyhennys 4,60 %</a:t>
          </a:r>
        </a:p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 sairausajan palkat ja työterveyshuolto 5,81 %, josta oletetaan sairausvakuutuksen korvaavan noin 1/3, joten laskelmaan jää 3,87 %</a:t>
          </a:r>
        </a:p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 Yhteensä 30,50 %</a:t>
          </a:r>
        </a:p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Kun tehollisten työtuntien mukainen vuoden 2018 palkkavaatimussuositus lasketaan arvioidun vuoden 2018 kokonaistuntiansion perusteella, palkkavaatimukseksi saadaan 12,25 e/h + 30,50 % x 12,25 e/h = 15,98 e/h = pyöristettynä 16,00 euroa/tunti.</a:t>
          </a:r>
        </a:p>
        <a:p>
          <a:endParaRPr lang="fi-FI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1</xdr:row>
      <xdr:rowOff>0</xdr:rowOff>
    </xdr:from>
    <xdr:to>
      <xdr:col>7</xdr:col>
      <xdr:colOff>276226</xdr:colOff>
      <xdr:row>24</xdr:row>
      <xdr:rowOff>95250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EA8C6133-522F-48CD-AC8B-BC1FABD2DD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276225</xdr:colOff>
      <xdr:row>1</xdr:row>
      <xdr:rowOff>0</xdr:rowOff>
    </xdr:from>
    <xdr:to>
      <xdr:col>13</xdr:col>
      <xdr:colOff>104775</xdr:colOff>
      <xdr:row>37</xdr:row>
      <xdr:rowOff>47626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94A3CA02-B922-4899-AA30-D87F0C664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10583</xdr:colOff>
      <xdr:row>28</xdr:row>
      <xdr:rowOff>1</xdr:rowOff>
    </xdr:from>
    <xdr:to>
      <xdr:col>12</xdr:col>
      <xdr:colOff>0</xdr:colOff>
      <xdr:row>38</xdr:row>
      <xdr:rowOff>95251</xdr:rowOff>
    </xdr:to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CFDFB763-F545-431F-A3AB-288B6872AF8F}"/>
            </a:ext>
          </a:extLst>
        </xdr:cNvPr>
        <xdr:cNvSpPr txBox="1"/>
      </xdr:nvSpPr>
      <xdr:spPr>
        <a:xfrm>
          <a:off x="4900083" y="4963584"/>
          <a:ext cx="7080250" cy="174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/>
            <a:t>Ohje:</a:t>
          </a:r>
        </a:p>
        <a:p>
          <a:r>
            <a:rPr lang="fi-FI" sz="1100"/>
            <a:t>Tällä välilehdellä voidaan </a:t>
          </a:r>
          <a:r>
            <a:rPr lang="fi-FI" sz="1100" b="1"/>
            <a:t>ARVIOIDA</a:t>
          </a:r>
          <a:r>
            <a:rPr lang="fi-FI" sz="1100"/>
            <a:t> kiinteiden kustannusten suuruusluokkaa.</a:t>
          </a:r>
        </a:p>
        <a:p>
          <a:r>
            <a:rPr lang="fi-FI" sz="1100" b="1"/>
            <a:t>Kone ja rakennus </a:t>
          </a:r>
          <a:r>
            <a:rPr lang="fi-FI" sz="1100"/>
            <a:t>taulukossa voidaan arvioida koneiden ja rakennusten poisto-,</a:t>
          </a:r>
          <a:r>
            <a:rPr lang="fi-FI" sz="1100" baseline="0"/>
            <a:t> kunnossapito- ja vuokrakustannuksia.</a:t>
          </a:r>
        </a:p>
        <a:p>
          <a:r>
            <a:rPr lang="fi-FI" sz="1100" b="1" baseline="0"/>
            <a:t>Lainalaskurill</a:t>
          </a:r>
          <a:r>
            <a:rPr lang="fi-FI" sz="1100" baseline="0"/>
            <a:t>a arvioidaan lainanhoitokulua.</a:t>
          </a:r>
        </a:p>
        <a:p>
          <a:r>
            <a:rPr lang="fi-FI" sz="1100" b="1" baseline="0"/>
            <a:t>Oman pääoman korko</a:t>
          </a:r>
          <a:r>
            <a:rPr lang="fi-FI" sz="1100" baseline="0"/>
            <a:t>laskurilla arvioidaan oman pääoman korkovaatimuksen määrää.</a:t>
          </a:r>
        </a:p>
        <a:p>
          <a:r>
            <a:rPr lang="fi-FI" sz="1100" b="1" baseline="0"/>
            <a:t>Yleiskustannukset</a:t>
          </a:r>
          <a:r>
            <a:rPr lang="fi-FI" sz="1100" baseline="0"/>
            <a:t> taulukossa arvioidaan koko maatalouteen kohdistuvien yleiskustannuksien määrää. Mikä on vuohituotannon osuus?</a:t>
          </a:r>
          <a:endParaRPr lang="fi-FI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workbookViewId="0">
      <selection activeCell="I33" sqref="I32:I33"/>
    </sheetView>
  </sheetViews>
  <sheetFormatPr defaultRowHeight="13.2" x14ac:dyDescent="0.25"/>
  <cols>
    <col min="3" max="3" width="21.109375" bestFit="1" customWidth="1"/>
    <col min="4" max="4" width="13.5546875" customWidth="1"/>
    <col min="5" max="5" width="16.44140625" bestFit="1" customWidth="1"/>
    <col min="6" max="6" width="21.109375" bestFit="1" customWidth="1"/>
    <col min="7" max="7" width="17.88671875" bestFit="1" customWidth="1"/>
    <col min="8" max="8" width="9.6640625" bestFit="1" customWidth="1"/>
  </cols>
  <sheetData>
    <row r="1" spans="1:11" s="221" customFormat="1" x14ac:dyDescent="0.25"/>
    <row r="2" spans="1:11" s="221" customFormat="1" x14ac:dyDescent="0.25"/>
    <row r="4" spans="1:11" ht="15.6" x14ac:dyDescent="0.3">
      <c r="B4" s="7"/>
      <c r="C4" s="224" t="s">
        <v>99</v>
      </c>
      <c r="D4" s="302">
        <v>2019</v>
      </c>
      <c r="E4" s="304"/>
      <c r="F4" s="111"/>
      <c r="G4" s="111"/>
      <c r="H4" s="111"/>
      <c r="I4" s="111"/>
      <c r="J4" s="111"/>
      <c r="K4" s="111"/>
    </row>
    <row r="5" spans="1:11" ht="15.6" x14ac:dyDescent="0.3">
      <c r="B5" s="7"/>
      <c r="C5" s="227"/>
      <c r="D5" s="228"/>
      <c r="E5" s="110"/>
      <c r="F5" s="158"/>
      <c r="H5" s="110"/>
      <c r="I5" s="7"/>
      <c r="J5" s="7"/>
      <c r="K5" s="7"/>
    </row>
    <row r="6" spans="1:11" x14ac:dyDescent="0.25">
      <c r="B6" s="7"/>
      <c r="C6" s="224" t="s">
        <v>124</v>
      </c>
      <c r="D6" s="303">
        <v>200</v>
      </c>
      <c r="E6" s="7"/>
      <c r="F6" s="158"/>
      <c r="H6" s="7"/>
      <c r="I6" s="7"/>
      <c r="J6" s="7"/>
      <c r="K6" s="7"/>
    </row>
    <row r="7" spans="1:11" x14ac:dyDescent="0.25">
      <c r="A7" s="15"/>
      <c r="B7" s="7"/>
      <c r="C7" s="224" t="s">
        <v>13</v>
      </c>
      <c r="D7" s="303">
        <v>0.7</v>
      </c>
      <c r="F7" s="7"/>
      <c r="G7" s="155"/>
      <c r="H7" s="7"/>
      <c r="I7" s="7"/>
      <c r="J7" s="7"/>
      <c r="K7" s="7"/>
    </row>
    <row r="8" spans="1:11" x14ac:dyDescent="0.25">
      <c r="B8" s="7"/>
      <c r="C8" s="224" t="s">
        <v>9</v>
      </c>
      <c r="D8" s="305">
        <v>0.2</v>
      </c>
      <c r="E8" s="7"/>
      <c r="F8" s="7"/>
      <c r="G8" s="7"/>
      <c r="H8" s="7"/>
      <c r="I8" s="7"/>
      <c r="J8" s="7"/>
      <c r="K8" s="7"/>
    </row>
    <row r="9" spans="1:11" x14ac:dyDescent="0.25">
      <c r="B9" s="118"/>
      <c r="C9" s="226" t="s">
        <v>5</v>
      </c>
      <c r="D9" s="309">
        <v>1.7</v>
      </c>
      <c r="H9" s="99"/>
      <c r="I9" s="7"/>
      <c r="J9" s="7"/>
      <c r="K9" s="7"/>
    </row>
    <row r="10" spans="1:11" x14ac:dyDescent="0.25">
      <c r="B10" s="17"/>
      <c r="C10" s="226" t="s">
        <v>216</v>
      </c>
      <c r="D10" s="306">
        <v>0.95</v>
      </c>
      <c r="H10" s="7"/>
      <c r="I10" s="7"/>
      <c r="J10" s="47"/>
      <c r="K10" s="47"/>
    </row>
    <row r="11" spans="1:11" x14ac:dyDescent="0.25">
      <c r="B11" s="7"/>
      <c r="C11" s="226" t="s">
        <v>14</v>
      </c>
      <c r="D11" s="225">
        <f>D6*D7</f>
        <v>140</v>
      </c>
      <c r="H11" s="7"/>
      <c r="I11" s="7"/>
      <c r="J11" s="47"/>
      <c r="K11" s="47"/>
    </row>
    <row r="12" spans="1:11" x14ac:dyDescent="0.25">
      <c r="B12" s="7"/>
      <c r="C12" s="226" t="s">
        <v>15</v>
      </c>
      <c r="D12" s="225">
        <f>(D11*D9)*D10</f>
        <v>226.1</v>
      </c>
      <c r="E12" s="7"/>
      <c r="F12" s="60"/>
      <c r="G12" s="7"/>
      <c r="H12" s="99"/>
      <c r="I12" s="7"/>
      <c r="J12" s="47"/>
      <c r="K12" s="47"/>
    </row>
    <row r="13" spans="1:11" x14ac:dyDescent="0.25">
      <c r="B13" s="7"/>
      <c r="C13" s="226" t="s">
        <v>125</v>
      </c>
      <c r="D13" s="225">
        <f>D6*D8</f>
        <v>40</v>
      </c>
      <c r="G13" s="7"/>
      <c r="H13" s="100"/>
      <c r="I13" s="7"/>
      <c r="J13" s="47"/>
      <c r="K13" s="47"/>
    </row>
    <row r="14" spans="1:11" x14ac:dyDescent="0.25">
      <c r="B14" s="7"/>
      <c r="C14" s="226" t="s">
        <v>205</v>
      </c>
      <c r="D14" s="302">
        <v>5</v>
      </c>
      <c r="E14" s="7"/>
      <c r="F14" s="7"/>
      <c r="G14" s="7"/>
      <c r="H14" s="14"/>
      <c r="I14" s="7"/>
      <c r="J14" s="47"/>
      <c r="K14" s="47"/>
    </row>
    <row r="15" spans="1:11" x14ac:dyDescent="0.25">
      <c r="B15" s="7"/>
      <c r="C15" s="226" t="s">
        <v>135</v>
      </c>
      <c r="D15" s="229">
        <f>1/D8</f>
        <v>5</v>
      </c>
      <c r="E15" s="7"/>
      <c r="F15" s="7"/>
      <c r="I15" s="7"/>
      <c r="J15" s="47"/>
      <c r="K15" s="47"/>
    </row>
    <row r="16" spans="1:11" x14ac:dyDescent="0.25">
      <c r="B16" s="7"/>
      <c r="C16" s="227"/>
      <c r="D16" s="228"/>
      <c r="E16" s="7"/>
      <c r="F16" s="7"/>
      <c r="I16" s="7"/>
      <c r="J16" s="7"/>
      <c r="K16" s="7"/>
    </row>
    <row r="17" spans="2:11" x14ac:dyDescent="0.25">
      <c r="B17" s="7"/>
      <c r="C17" s="230" t="s">
        <v>203</v>
      </c>
      <c r="D17" s="231"/>
      <c r="E17" s="7"/>
      <c r="F17" s="7"/>
      <c r="I17" s="7"/>
      <c r="J17" s="7"/>
      <c r="K17" s="7"/>
    </row>
    <row r="18" spans="2:11" x14ac:dyDescent="0.25">
      <c r="B18" s="7"/>
      <c r="C18" s="232" t="s">
        <v>138</v>
      </c>
      <c r="D18" s="307">
        <v>70</v>
      </c>
      <c r="E18" s="7" t="s">
        <v>227</v>
      </c>
      <c r="F18" s="7"/>
      <c r="I18" s="7"/>
      <c r="J18" s="7"/>
      <c r="K18" s="7"/>
    </row>
    <row r="19" spans="2:11" x14ac:dyDescent="0.25">
      <c r="B19" s="7"/>
      <c r="C19" s="233" t="s">
        <v>217</v>
      </c>
      <c r="D19" s="307">
        <v>40</v>
      </c>
      <c r="E19" s="7"/>
      <c r="F19" s="7"/>
      <c r="G19" s="7"/>
      <c r="H19" s="7"/>
      <c r="I19" s="7"/>
      <c r="J19" s="7"/>
      <c r="K19" s="7"/>
    </row>
    <row r="20" spans="2:11" x14ac:dyDescent="0.25">
      <c r="B20" s="7"/>
      <c r="C20" s="227"/>
      <c r="D20" s="228"/>
      <c r="E20" s="7"/>
      <c r="F20" s="7"/>
      <c r="G20" s="7"/>
      <c r="H20" s="7"/>
      <c r="I20" s="7"/>
      <c r="J20" s="7"/>
      <c r="K20" s="7"/>
    </row>
    <row r="21" spans="2:11" x14ac:dyDescent="0.25">
      <c r="C21" s="224" t="s">
        <v>128</v>
      </c>
      <c r="D21" s="234">
        <f>Tuotanto!D6*D18+D14*D19+D19*D13</f>
        <v>15800</v>
      </c>
      <c r="F21" s="7"/>
    </row>
    <row r="22" spans="2:11" x14ac:dyDescent="0.25">
      <c r="C22" s="224" t="s">
        <v>112</v>
      </c>
      <c r="D22" s="234">
        <f>(Katelaskenta!C19+Katelaskenta!C20+Katelaskenta!C21+Katelaskenta!C22+Katelaskenta!C23+Katelaskenta!C35)*0.3</f>
        <v>23194.5</v>
      </c>
      <c r="F22" s="7"/>
    </row>
    <row r="23" spans="2:11" x14ac:dyDescent="0.25">
      <c r="C23" s="224" t="s">
        <v>179</v>
      </c>
      <c r="D23" s="308">
        <v>0.05</v>
      </c>
      <c r="E23" s="161"/>
      <c r="F23" s="7"/>
    </row>
    <row r="31" spans="2:11" x14ac:dyDescent="0.25">
      <c r="H31" s="51"/>
      <c r="I31" s="80"/>
    </row>
    <row r="32" spans="2:11" x14ac:dyDescent="0.25">
      <c r="H32" s="51"/>
      <c r="I32" s="51"/>
    </row>
  </sheetData>
  <sheetProtection sheet="1" objects="1" scenarios="1"/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77"/>
  <sheetViews>
    <sheetView zoomScale="80" zoomScaleNormal="80" workbookViewId="0">
      <selection activeCell="B12" sqref="B12"/>
    </sheetView>
  </sheetViews>
  <sheetFormatPr defaultRowHeight="13.2" x14ac:dyDescent="0.25"/>
  <cols>
    <col min="1" max="1" width="26" bestFit="1" customWidth="1"/>
    <col min="2" max="2" width="16.109375" bestFit="1" customWidth="1"/>
    <col min="3" max="3" width="5.6640625" customWidth="1"/>
    <col min="4" max="4" width="20.109375" bestFit="1" customWidth="1"/>
    <col min="5" max="5" width="9.44140625" customWidth="1"/>
    <col min="6" max="6" width="7.33203125" customWidth="1"/>
    <col min="7" max="7" width="16.109375" bestFit="1" customWidth="1"/>
    <col min="8" max="8" width="9.6640625" bestFit="1" customWidth="1"/>
    <col min="9" max="9" width="5" bestFit="1" customWidth="1"/>
    <col min="13" max="13" width="20.88671875" customWidth="1"/>
    <col min="14" max="14" width="17.44140625" bestFit="1" customWidth="1"/>
    <col min="17" max="17" width="27" bestFit="1" customWidth="1"/>
  </cols>
  <sheetData>
    <row r="2" spans="1:12" ht="15.6" x14ac:dyDescent="0.3">
      <c r="A2" s="1" t="s">
        <v>56</v>
      </c>
      <c r="B2" s="84">
        <f>B10+B15+E8+E13+H8+B22+B26+B30+E30</f>
        <v>78750</v>
      </c>
      <c r="C2" s="41"/>
      <c r="D2" s="122"/>
      <c r="E2" s="14"/>
      <c r="F2" s="14"/>
    </row>
    <row r="3" spans="1:12" x14ac:dyDescent="0.25">
      <c r="B3" s="27"/>
      <c r="C3" s="14"/>
      <c r="D3" s="14"/>
      <c r="E3" s="40"/>
      <c r="F3" s="14"/>
    </row>
    <row r="4" spans="1:12" x14ac:dyDescent="0.25">
      <c r="A4" s="33" t="s">
        <v>23</v>
      </c>
      <c r="B4" s="4"/>
      <c r="C4" s="4"/>
      <c r="D4" s="33" t="s">
        <v>28</v>
      </c>
      <c r="E4" s="4"/>
      <c r="F4" s="4"/>
      <c r="G4" s="33" t="s">
        <v>31</v>
      </c>
      <c r="H4" s="4"/>
      <c r="I4" s="5"/>
    </row>
    <row r="5" spans="1:12" x14ac:dyDescent="0.25">
      <c r="D5" s="6"/>
      <c r="E5" s="7"/>
      <c r="F5" s="7"/>
      <c r="G5" s="6"/>
      <c r="H5" s="7"/>
      <c r="I5" s="8"/>
    </row>
    <row r="6" spans="1:12" x14ac:dyDescent="0.25">
      <c r="A6" s="166" t="s">
        <v>141</v>
      </c>
      <c r="B6" s="34">
        <f>Tuotanto!D12-Tuotanto!D13-Myyntituotot!B8-Myyntituotot!B12</f>
        <v>116.1</v>
      </c>
      <c r="C6" s="91" t="s">
        <v>1</v>
      </c>
      <c r="D6" s="79" t="s">
        <v>29</v>
      </c>
      <c r="E6" s="312">
        <v>3</v>
      </c>
      <c r="F6" s="80" t="s">
        <v>1</v>
      </c>
      <c r="G6" s="79" t="s">
        <v>32</v>
      </c>
      <c r="H6" s="312">
        <v>0</v>
      </c>
      <c r="I6" s="81" t="s">
        <v>1</v>
      </c>
      <c r="J6" s="51"/>
      <c r="K6" s="51"/>
    </row>
    <row r="7" spans="1:12" x14ac:dyDescent="0.25">
      <c r="D7" s="79" t="s">
        <v>25</v>
      </c>
      <c r="E7" s="312">
        <v>100</v>
      </c>
      <c r="F7" s="80" t="s">
        <v>27</v>
      </c>
      <c r="G7" s="79" t="s">
        <v>25</v>
      </c>
      <c r="H7" s="312">
        <v>0</v>
      </c>
      <c r="I7" s="81" t="s">
        <v>27</v>
      </c>
      <c r="J7" s="51"/>
      <c r="K7" s="51"/>
    </row>
    <row r="8" spans="1:12" x14ac:dyDescent="0.25">
      <c r="A8" s="6" t="s">
        <v>26</v>
      </c>
      <c r="B8" s="310">
        <v>20</v>
      </c>
      <c r="C8" s="7" t="s">
        <v>1</v>
      </c>
      <c r="D8" s="141" t="s">
        <v>176</v>
      </c>
      <c r="E8" s="179">
        <f>E6*E7</f>
        <v>300</v>
      </c>
      <c r="F8" s="179" t="s">
        <v>4</v>
      </c>
      <c r="G8" s="141" t="s">
        <v>176</v>
      </c>
      <c r="H8" s="179">
        <f>H6*H7</f>
        <v>0</v>
      </c>
      <c r="I8" s="183" t="s">
        <v>4</v>
      </c>
      <c r="J8" s="51"/>
      <c r="K8" s="51"/>
    </row>
    <row r="9" spans="1:12" x14ac:dyDescent="0.25">
      <c r="A9" s="6" t="s">
        <v>25</v>
      </c>
      <c r="B9" s="311">
        <v>50</v>
      </c>
      <c r="C9" s="7" t="s">
        <v>27</v>
      </c>
      <c r="D9" s="82"/>
      <c r="E9" s="7"/>
      <c r="F9" s="7"/>
      <c r="G9" s="79"/>
      <c r="H9" s="80"/>
      <c r="I9" s="81"/>
    </row>
    <row r="10" spans="1:12" x14ac:dyDescent="0.25">
      <c r="A10" s="153" t="s">
        <v>176</v>
      </c>
      <c r="B10" s="140">
        <f>B8*B9</f>
        <v>1000</v>
      </c>
      <c r="C10" s="154" t="s">
        <v>4</v>
      </c>
      <c r="D10" s="90" t="s">
        <v>30</v>
      </c>
      <c r="E10" s="311">
        <v>10</v>
      </c>
      <c r="F10" s="7" t="s">
        <v>1</v>
      </c>
      <c r="G10" s="6"/>
      <c r="H10" s="7"/>
      <c r="I10" s="97"/>
      <c r="J10" s="50"/>
      <c r="K10" s="50"/>
      <c r="L10" s="41"/>
    </row>
    <row r="11" spans="1:12" x14ac:dyDescent="0.25">
      <c r="A11" s="6"/>
      <c r="B11" s="7"/>
      <c r="C11" s="7"/>
      <c r="D11" s="6" t="s">
        <v>6</v>
      </c>
      <c r="E11" s="310">
        <v>25</v>
      </c>
      <c r="F11" s="7" t="s">
        <v>2</v>
      </c>
      <c r="G11" s="6"/>
      <c r="H11" s="7"/>
      <c r="I11" s="97"/>
      <c r="J11" s="50"/>
      <c r="K11" s="50"/>
      <c r="L11" s="109"/>
    </row>
    <row r="12" spans="1:12" x14ac:dyDescent="0.25">
      <c r="A12" s="6" t="s">
        <v>24</v>
      </c>
      <c r="B12" s="311">
        <v>50</v>
      </c>
      <c r="C12" s="7" t="s">
        <v>1</v>
      </c>
      <c r="D12" s="6" t="s">
        <v>25</v>
      </c>
      <c r="E12" s="310">
        <v>1</v>
      </c>
      <c r="F12" s="7" t="s">
        <v>3</v>
      </c>
      <c r="G12" s="6"/>
      <c r="H12" s="7"/>
      <c r="I12" s="97"/>
      <c r="J12" s="50"/>
      <c r="K12" s="50"/>
    </row>
    <row r="13" spans="1:12" x14ac:dyDescent="0.25">
      <c r="A13" s="6" t="s">
        <v>6</v>
      </c>
      <c r="B13" s="310">
        <v>10</v>
      </c>
      <c r="C13" s="7" t="s">
        <v>2</v>
      </c>
      <c r="D13" s="153" t="s">
        <v>204</v>
      </c>
      <c r="E13" s="154">
        <f>E10*E11*E12</f>
        <v>250</v>
      </c>
      <c r="F13" s="154" t="s">
        <v>4</v>
      </c>
      <c r="G13" s="6"/>
      <c r="H13" s="7"/>
      <c r="I13" s="97"/>
      <c r="J13" s="50"/>
      <c r="K13" s="50"/>
    </row>
    <row r="14" spans="1:12" x14ac:dyDescent="0.25">
      <c r="A14" s="6" t="s">
        <v>25</v>
      </c>
      <c r="B14" s="311">
        <v>3</v>
      </c>
      <c r="C14" s="7" t="s">
        <v>3</v>
      </c>
      <c r="D14" s="90"/>
      <c r="E14" s="7"/>
      <c r="F14" s="7"/>
      <c r="G14" s="6"/>
      <c r="H14" s="7"/>
      <c r="I14" s="8"/>
    </row>
    <row r="15" spans="1:12" x14ac:dyDescent="0.25">
      <c r="A15" s="153" t="s">
        <v>177</v>
      </c>
      <c r="B15" s="140">
        <f>B12*B13*B14</f>
        <v>1500</v>
      </c>
      <c r="C15" s="154" t="s">
        <v>4</v>
      </c>
      <c r="D15" s="6"/>
      <c r="E15" s="7"/>
      <c r="F15" s="7"/>
      <c r="G15" s="6"/>
      <c r="H15" s="7"/>
      <c r="I15" s="8"/>
    </row>
    <row r="16" spans="1:12" s="68" customFormat="1" x14ac:dyDescent="0.25">
      <c r="A16" s="9"/>
      <c r="B16" s="78"/>
      <c r="C16" s="92"/>
      <c r="D16" s="9"/>
      <c r="E16" s="92"/>
      <c r="F16" s="92"/>
      <c r="G16" s="9"/>
      <c r="H16" s="92"/>
      <c r="I16" s="11"/>
    </row>
    <row r="17" spans="1:6" s="68" customFormat="1" x14ac:dyDescent="0.25"/>
    <row r="18" spans="1:6" s="68" customFormat="1" x14ac:dyDescent="0.25">
      <c r="A18" s="33" t="s">
        <v>34</v>
      </c>
      <c r="B18" s="4"/>
      <c r="C18" s="4"/>
      <c r="D18" s="160" t="s">
        <v>139</v>
      </c>
      <c r="E18" s="145"/>
      <c r="F18" s="146"/>
    </row>
    <row r="19" spans="1:6" s="68" customFormat="1" x14ac:dyDescent="0.25">
      <c r="A19" s="6"/>
      <c r="B19" s="7"/>
      <c r="C19" s="7"/>
      <c r="D19" s="310" t="s">
        <v>208</v>
      </c>
      <c r="E19" s="313">
        <v>300</v>
      </c>
      <c r="F19" s="36"/>
    </row>
    <row r="20" spans="1:6" s="68" customFormat="1" x14ac:dyDescent="0.25">
      <c r="A20" s="83" t="s">
        <v>35</v>
      </c>
      <c r="B20" s="310">
        <v>0</v>
      </c>
      <c r="C20" s="91" t="s">
        <v>37</v>
      </c>
      <c r="D20" s="310"/>
      <c r="E20" s="313">
        <v>0</v>
      </c>
      <c r="F20" s="36"/>
    </row>
    <row r="21" spans="1:6" s="68" customFormat="1" x14ac:dyDescent="0.25">
      <c r="A21" s="76" t="s">
        <v>25</v>
      </c>
      <c r="B21" s="310">
        <v>0</v>
      </c>
      <c r="C21" s="91" t="s">
        <v>38</v>
      </c>
      <c r="D21" s="310"/>
      <c r="E21" s="314">
        <v>0</v>
      </c>
      <c r="F21" s="36"/>
    </row>
    <row r="22" spans="1:6" s="68" customFormat="1" x14ac:dyDescent="0.25">
      <c r="A22" s="153" t="s">
        <v>176</v>
      </c>
      <c r="B22" s="154">
        <f>B20*B21</f>
        <v>0</v>
      </c>
      <c r="C22" s="154" t="s">
        <v>4</v>
      </c>
      <c r="D22" s="310"/>
      <c r="E22" s="313">
        <v>0</v>
      </c>
      <c r="F22" s="36"/>
    </row>
    <row r="23" spans="1:6" s="68" customFormat="1" x14ac:dyDescent="0.25">
      <c r="A23" s="6"/>
      <c r="B23" s="7"/>
      <c r="C23" s="7"/>
      <c r="D23" s="310"/>
      <c r="E23" s="314">
        <v>0</v>
      </c>
      <c r="F23" s="36"/>
    </row>
    <row r="24" spans="1:6" x14ac:dyDescent="0.25">
      <c r="A24" s="76" t="s">
        <v>22</v>
      </c>
      <c r="B24" s="310">
        <v>130000</v>
      </c>
      <c r="C24" s="91" t="s">
        <v>37</v>
      </c>
      <c r="D24" s="310"/>
      <c r="E24" s="313">
        <v>0</v>
      </c>
      <c r="F24" s="149"/>
    </row>
    <row r="25" spans="1:6" s="68" customFormat="1" x14ac:dyDescent="0.25">
      <c r="A25" s="76" t="s">
        <v>25</v>
      </c>
      <c r="B25" s="310">
        <v>0.57999999999999996</v>
      </c>
      <c r="C25" s="91" t="s">
        <v>38</v>
      </c>
      <c r="D25" s="310"/>
      <c r="E25" s="314">
        <v>0</v>
      </c>
      <c r="F25" s="149"/>
    </row>
    <row r="26" spans="1:6" s="68" customFormat="1" x14ac:dyDescent="0.25">
      <c r="A26" s="153" t="s">
        <v>176</v>
      </c>
      <c r="B26" s="154">
        <f>B24*B25</f>
        <v>75400</v>
      </c>
      <c r="C26" s="154" t="s">
        <v>4</v>
      </c>
      <c r="D26" s="310"/>
      <c r="E26" s="313">
        <v>0</v>
      </c>
      <c r="F26" s="149"/>
    </row>
    <row r="27" spans="1:6" s="68" customFormat="1" x14ac:dyDescent="0.25">
      <c r="A27" s="6"/>
      <c r="B27" s="7"/>
      <c r="C27" s="7"/>
      <c r="D27" s="310"/>
      <c r="E27" s="314">
        <v>0</v>
      </c>
      <c r="F27" s="149"/>
    </row>
    <row r="28" spans="1:6" s="68" customFormat="1" x14ac:dyDescent="0.25">
      <c r="A28" s="76" t="s">
        <v>36</v>
      </c>
      <c r="B28" s="310">
        <v>0</v>
      </c>
      <c r="C28" s="91" t="s">
        <v>37</v>
      </c>
      <c r="D28" s="310"/>
      <c r="E28" s="313">
        <v>0</v>
      </c>
      <c r="F28" s="149"/>
    </row>
    <row r="29" spans="1:6" s="68" customFormat="1" x14ac:dyDescent="0.25">
      <c r="A29" s="76" t="s">
        <v>25</v>
      </c>
      <c r="B29" s="310">
        <v>0</v>
      </c>
      <c r="C29" s="91" t="s">
        <v>38</v>
      </c>
      <c r="D29" s="310"/>
      <c r="E29" s="315">
        <v>0</v>
      </c>
      <c r="F29" s="149"/>
    </row>
    <row r="30" spans="1:6" s="68" customFormat="1" x14ac:dyDescent="0.25">
      <c r="A30" s="153" t="s">
        <v>176</v>
      </c>
      <c r="B30" s="140">
        <f>B28*B29</f>
        <v>0</v>
      </c>
      <c r="C30" s="154" t="s">
        <v>4</v>
      </c>
      <c r="D30" s="166" t="s">
        <v>52</v>
      </c>
      <c r="E30" s="169">
        <f>SUM(E19:E29)</f>
        <v>300</v>
      </c>
      <c r="F30" s="149"/>
    </row>
    <row r="31" spans="1:6" s="68" customFormat="1" x14ac:dyDescent="0.25">
      <c r="A31" s="28"/>
      <c r="B31" s="69"/>
      <c r="C31" s="92"/>
      <c r="D31" s="150"/>
      <c r="E31" s="151"/>
      <c r="F31" s="152"/>
    </row>
    <row r="32" spans="1:6" s="68" customFormat="1" x14ac:dyDescent="0.25"/>
    <row r="33" spans="10:10" s="68" customFormat="1" x14ac:dyDescent="0.25"/>
    <row r="34" spans="10:10" s="68" customFormat="1" x14ac:dyDescent="0.25">
      <c r="J34" s="369"/>
    </row>
    <row r="35" spans="10:10" s="68" customFormat="1" x14ac:dyDescent="0.25"/>
    <row r="36" spans="10:10" s="68" customFormat="1" x14ac:dyDescent="0.25"/>
    <row r="37" spans="10:10" s="68" customFormat="1" x14ac:dyDescent="0.25"/>
    <row r="38" spans="10:10" s="68" customFormat="1" x14ac:dyDescent="0.25"/>
    <row r="39" spans="10:10" s="68" customFormat="1" x14ac:dyDescent="0.25"/>
    <row r="40" spans="10:10" s="68" customFormat="1" x14ac:dyDescent="0.25"/>
    <row r="41" spans="10:10" s="68" customFormat="1" x14ac:dyDescent="0.25"/>
    <row r="42" spans="10:10" s="68" customFormat="1" x14ac:dyDescent="0.25"/>
    <row r="43" spans="10:10" s="68" customFormat="1" x14ac:dyDescent="0.25"/>
    <row r="44" spans="10:10" s="68" customFormat="1" x14ac:dyDescent="0.25"/>
    <row r="45" spans="10:10" s="68" customFormat="1" x14ac:dyDescent="0.25"/>
    <row r="46" spans="10:10" s="68" customFormat="1" x14ac:dyDescent="0.25"/>
    <row r="47" spans="10:10" s="68" customFormat="1" x14ac:dyDescent="0.25"/>
    <row r="48" spans="10:10" s="68" customFormat="1" x14ac:dyDescent="0.25"/>
    <row r="49" s="68" customFormat="1" x14ac:dyDescent="0.25"/>
    <row r="66" spans="5:10" x14ac:dyDescent="0.25">
      <c r="E66" s="7"/>
    </row>
    <row r="67" spans="5:10" x14ac:dyDescent="0.25">
      <c r="E67" s="7"/>
    </row>
    <row r="69" spans="5:10" x14ac:dyDescent="0.25">
      <c r="F69" s="27"/>
      <c r="G69" s="14"/>
      <c r="H69" s="14"/>
      <c r="I69" s="21"/>
      <c r="J69" s="14"/>
    </row>
    <row r="70" spans="5:10" x14ac:dyDescent="0.25">
      <c r="F70" s="24"/>
      <c r="G70" s="20"/>
      <c r="H70" s="14"/>
      <c r="I70" s="21"/>
      <c r="J70" s="24"/>
    </row>
    <row r="71" spans="5:10" x14ac:dyDescent="0.25">
      <c r="F71" s="24"/>
      <c r="G71" s="14"/>
      <c r="H71" s="56"/>
      <c r="I71" s="29"/>
      <c r="J71" s="24"/>
    </row>
    <row r="72" spans="5:10" x14ac:dyDescent="0.25">
      <c r="F72" s="24"/>
      <c r="G72" s="14"/>
      <c r="H72" s="22"/>
      <c r="I72" s="29"/>
      <c r="J72" s="24"/>
    </row>
    <row r="73" spans="5:10" x14ac:dyDescent="0.25">
      <c r="F73" s="24"/>
      <c r="G73" s="14"/>
      <c r="H73" s="22"/>
      <c r="I73" s="29"/>
      <c r="J73" s="24"/>
    </row>
    <row r="74" spans="5:10" x14ac:dyDescent="0.25">
      <c r="E74" s="25"/>
      <c r="F74" s="23"/>
      <c r="G74" s="23"/>
      <c r="H74" s="22"/>
      <c r="I74" s="29"/>
      <c r="J74" s="27"/>
    </row>
    <row r="75" spans="5:10" x14ac:dyDescent="0.25">
      <c r="F75" s="55"/>
      <c r="G75" s="23"/>
      <c r="H75" s="22"/>
      <c r="I75" s="29"/>
      <c r="J75" s="24"/>
    </row>
    <row r="76" spans="5:10" x14ac:dyDescent="0.25">
      <c r="F76" s="23"/>
      <c r="G76" s="23"/>
      <c r="H76" s="22"/>
      <c r="I76" s="29"/>
      <c r="J76" s="24"/>
    </row>
    <row r="77" spans="5:10" x14ac:dyDescent="0.25">
      <c r="F77" s="54"/>
      <c r="G77" s="54"/>
      <c r="H77" s="54"/>
      <c r="I77" s="53"/>
      <c r="J77" s="1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B92"/>
  <sheetViews>
    <sheetView topLeftCell="A4" zoomScale="80" zoomScaleNormal="80" workbookViewId="0">
      <selection activeCell="K21" sqref="K21"/>
    </sheetView>
  </sheetViews>
  <sheetFormatPr defaultRowHeight="13.2" x14ac:dyDescent="0.25"/>
  <cols>
    <col min="2" max="2" width="27.109375" customWidth="1"/>
    <col min="3" max="3" width="16.5546875" customWidth="1"/>
    <col min="4" max="4" width="17.88671875" customWidth="1"/>
    <col min="5" max="5" width="30.6640625" bestFit="1" customWidth="1"/>
    <col min="6" max="6" width="9" customWidth="1"/>
    <col min="7" max="7" width="10.33203125" customWidth="1"/>
    <col min="9" max="9" width="15.6640625" bestFit="1" customWidth="1"/>
    <col min="10" max="10" width="15.44140625" customWidth="1"/>
    <col min="11" max="11" width="25.5546875" customWidth="1"/>
    <col min="12" max="12" width="23.33203125" bestFit="1" customWidth="1"/>
  </cols>
  <sheetData>
    <row r="1" spans="2:28" s="95" customFormat="1" x14ac:dyDescent="0.25"/>
    <row r="2" spans="2:28" s="95" customFormat="1" ht="15.6" x14ac:dyDescent="0.3">
      <c r="B2" s="1" t="s">
        <v>51</v>
      </c>
      <c r="C2" s="318">
        <f>SUM(C11:C14)</f>
        <v>41811</v>
      </c>
      <c r="N2" s="161"/>
      <c r="O2" s="161"/>
      <c r="P2" s="161"/>
      <c r="Q2" s="161"/>
      <c r="R2" s="161"/>
      <c r="S2" s="161"/>
      <c r="T2" s="161"/>
      <c r="U2" s="161"/>
    </row>
    <row r="3" spans="2:28" x14ac:dyDescent="0.25">
      <c r="E3" s="158"/>
      <c r="L3" s="181" t="s">
        <v>143</v>
      </c>
      <c r="M3" s="193"/>
      <c r="N3" s="161"/>
      <c r="O3" s="161"/>
      <c r="P3" s="161"/>
      <c r="Q3" s="161"/>
      <c r="R3" s="161"/>
      <c r="S3" s="161"/>
      <c r="T3" s="161"/>
      <c r="U3" s="161"/>
    </row>
    <row r="4" spans="2:28" x14ac:dyDescent="0.25">
      <c r="B4" s="26" t="s">
        <v>39</v>
      </c>
      <c r="C4" s="319" t="s">
        <v>41</v>
      </c>
      <c r="D4" s="50"/>
      <c r="L4" s="147" t="s">
        <v>41</v>
      </c>
      <c r="M4" s="190">
        <v>761</v>
      </c>
      <c r="N4" s="161"/>
      <c r="O4" s="161"/>
      <c r="P4" s="161"/>
      <c r="Q4" s="161"/>
      <c r="R4" s="161"/>
      <c r="S4" s="161"/>
      <c r="T4" s="161"/>
      <c r="U4" s="161"/>
    </row>
    <row r="5" spans="2:28" x14ac:dyDescent="0.25">
      <c r="B5" s="58" t="s">
        <v>83</v>
      </c>
      <c r="C5" s="310">
        <v>60</v>
      </c>
      <c r="L5" s="147" t="s">
        <v>42</v>
      </c>
      <c r="M5" s="190">
        <v>780</v>
      </c>
      <c r="N5" s="161"/>
      <c r="O5" s="161"/>
      <c r="P5" s="161"/>
      <c r="Q5" s="161"/>
      <c r="R5" s="161"/>
      <c r="S5" s="161"/>
      <c r="T5" s="161"/>
      <c r="U5" s="161"/>
    </row>
    <row r="6" spans="2:28" x14ac:dyDescent="0.25">
      <c r="B6" s="58" t="s">
        <v>82</v>
      </c>
      <c r="C6" s="112">
        <f>(Tuotanto!D6+Tuotanto!D14)*0.2</f>
        <v>41</v>
      </c>
      <c r="K6" s="161"/>
      <c r="L6" s="147" t="s">
        <v>142</v>
      </c>
      <c r="M6" s="190">
        <v>821</v>
      </c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</row>
    <row r="7" spans="2:28" ht="15" x14ac:dyDescent="0.25">
      <c r="B7" s="58" t="s">
        <v>84</v>
      </c>
      <c r="C7" s="133">
        <f>C6/C5</f>
        <v>0.68333333333333335</v>
      </c>
      <c r="D7" s="7"/>
      <c r="F7" s="119"/>
      <c r="G7" s="119"/>
      <c r="H7" s="119"/>
      <c r="I7" s="119"/>
      <c r="K7" s="161"/>
      <c r="L7" s="166" t="s">
        <v>144</v>
      </c>
      <c r="M7" s="190">
        <v>1063</v>
      </c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</row>
    <row r="8" spans="2:28" ht="15" x14ac:dyDescent="0.25">
      <c r="B8" s="19"/>
      <c r="C8" s="19"/>
      <c r="D8" s="7"/>
      <c r="F8" s="119"/>
      <c r="G8" s="119"/>
      <c r="H8" s="119"/>
      <c r="I8" s="119"/>
      <c r="K8" s="161"/>
      <c r="L8" s="147" t="s">
        <v>44</v>
      </c>
      <c r="M8" s="190">
        <v>1063</v>
      </c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</row>
    <row r="9" spans="2:28" ht="15" x14ac:dyDescent="0.25">
      <c r="B9" s="77" t="s">
        <v>58</v>
      </c>
      <c r="C9" s="7"/>
      <c r="F9" s="119"/>
      <c r="G9" s="119"/>
      <c r="H9" s="119"/>
      <c r="I9" s="119"/>
      <c r="K9" s="161"/>
      <c r="L9" s="147" t="s">
        <v>45</v>
      </c>
      <c r="M9" s="190">
        <v>1142</v>
      </c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</row>
    <row r="10" spans="2:28" x14ac:dyDescent="0.25">
      <c r="K10" s="161"/>
      <c r="L10" s="147" t="s">
        <v>46</v>
      </c>
      <c r="M10" s="190">
        <v>1281</v>
      </c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</row>
    <row r="11" spans="2:28" x14ac:dyDescent="0.25">
      <c r="B11" s="59" t="s">
        <v>74</v>
      </c>
      <c r="C11" s="49">
        <f>J24</f>
        <v>37801</v>
      </c>
      <c r="K11" s="161"/>
      <c r="L11" s="191" t="s">
        <v>47</v>
      </c>
      <c r="M11" s="192">
        <v>1468</v>
      </c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</row>
    <row r="12" spans="2:28" x14ac:dyDescent="0.25">
      <c r="B12" s="26" t="s">
        <v>11</v>
      </c>
      <c r="C12">
        <f>J34</f>
        <v>410</v>
      </c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</row>
    <row r="13" spans="2:28" x14ac:dyDescent="0.25">
      <c r="B13" s="58" t="s">
        <v>85</v>
      </c>
      <c r="C13">
        <f>J39</f>
        <v>3600</v>
      </c>
      <c r="D13" s="22"/>
      <c r="E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</row>
    <row r="14" spans="2:28" x14ac:dyDescent="0.25">
      <c r="B14" s="26" t="s">
        <v>8</v>
      </c>
      <c r="C14" s="310">
        <v>0</v>
      </c>
      <c r="D14" s="56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</row>
    <row r="15" spans="2:28" x14ac:dyDescent="0.25">
      <c r="I15" s="50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</row>
    <row r="16" spans="2:28" x14ac:dyDescent="0.25"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</row>
    <row r="17" spans="2:28" x14ac:dyDescent="0.25">
      <c r="B17" s="398" t="s">
        <v>74</v>
      </c>
      <c r="C17" s="399"/>
      <c r="D17" s="399"/>
      <c r="E17" s="44" t="s">
        <v>86</v>
      </c>
      <c r="F17" s="43"/>
      <c r="G17" s="43"/>
      <c r="H17" s="44" t="s">
        <v>72</v>
      </c>
      <c r="I17" s="44" t="s">
        <v>77</v>
      </c>
      <c r="J17" s="65" t="s">
        <v>10</v>
      </c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</row>
    <row r="18" spans="2:28" x14ac:dyDescent="0.25">
      <c r="B18" s="396" t="s">
        <v>49</v>
      </c>
      <c r="C18" s="397"/>
      <c r="D18" s="397"/>
      <c r="E18" s="66" t="s">
        <v>87</v>
      </c>
      <c r="F18" s="4">
        <v>4</v>
      </c>
      <c r="G18" s="73" t="s">
        <v>80</v>
      </c>
      <c r="H18" s="303" t="s">
        <v>73</v>
      </c>
      <c r="I18" s="4">
        <f>IF($C$4="AB",0,IF($C$4="C1",M4,IF($C$4="C2",M5,IF($C$4="C2, pohjoinen ja saaristo",M6,IF($C$4="C3-P1, P2",M7,IF($C$4="C3-P3, P4",M8,IF($C$4="C4-P4",M9,IF($C$4="C4-P5",M10))))))))</f>
        <v>761</v>
      </c>
      <c r="J18" s="316">
        <f>IF(AND($C$6&gt;=F18,H18="x"),$C$6*I18,0)</f>
        <v>31201</v>
      </c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</row>
    <row r="19" spans="2:28" x14ac:dyDescent="0.25">
      <c r="B19" s="400" t="s">
        <v>48</v>
      </c>
      <c r="C19" s="401"/>
      <c r="D19" s="401"/>
      <c r="E19" s="60" t="s">
        <v>87</v>
      </c>
      <c r="F19" s="7">
        <v>4</v>
      </c>
      <c r="G19" s="63" t="s">
        <v>80</v>
      </c>
      <c r="H19" s="303" t="s">
        <v>73</v>
      </c>
      <c r="I19" s="139">
        <f>IF(C4="AB",100,0)</f>
        <v>0</v>
      </c>
      <c r="J19" s="189">
        <f>IF(AND($C$6&gt;=F19,H19="x"),(Tuotanto!D6+Tuotanto!G7)*I19,0)</f>
        <v>0</v>
      </c>
      <c r="N19" s="161"/>
      <c r="O19" s="161"/>
      <c r="P19" s="161"/>
      <c r="Q19" s="161"/>
      <c r="R19" s="161"/>
      <c r="S19" s="161"/>
      <c r="T19" s="161"/>
      <c r="U19" s="161"/>
    </row>
    <row r="20" spans="2:28" x14ac:dyDescent="0.25">
      <c r="B20" s="402"/>
      <c r="C20" s="403"/>
      <c r="D20" s="403"/>
      <c r="E20" s="44" t="s">
        <v>86</v>
      </c>
      <c r="F20" s="43"/>
      <c r="G20" s="43"/>
      <c r="H20" s="44" t="s">
        <v>72</v>
      </c>
      <c r="I20" s="44" t="s">
        <v>90</v>
      </c>
      <c r="J20" s="65" t="s">
        <v>10</v>
      </c>
      <c r="N20" s="161"/>
      <c r="O20" s="161"/>
      <c r="P20" s="161"/>
      <c r="Q20" s="161"/>
      <c r="R20" s="161"/>
      <c r="S20" s="161"/>
      <c r="T20" s="161"/>
      <c r="U20" s="161"/>
    </row>
    <row r="21" spans="2:28" x14ac:dyDescent="0.25">
      <c r="B21" s="404" t="s">
        <v>50</v>
      </c>
      <c r="C21" s="405"/>
      <c r="D21" s="405"/>
      <c r="E21" s="60" t="s">
        <v>89</v>
      </c>
      <c r="F21" s="320">
        <v>0.8</v>
      </c>
      <c r="G21" s="63"/>
      <c r="H21" s="303" t="s">
        <v>73</v>
      </c>
      <c r="I21" s="7">
        <v>30</v>
      </c>
      <c r="J21" s="36">
        <f>IF(H21="x",I21*Myyntituotot!B12*F21,0)</f>
        <v>1200</v>
      </c>
      <c r="N21" s="161"/>
      <c r="O21" s="161"/>
      <c r="P21" s="161"/>
      <c r="Q21" s="161"/>
      <c r="R21" s="161"/>
      <c r="S21" s="161"/>
      <c r="T21" s="161"/>
      <c r="U21" s="161"/>
    </row>
    <row r="22" spans="2:28" x14ac:dyDescent="0.25">
      <c r="B22" s="396" t="s">
        <v>7</v>
      </c>
      <c r="C22" s="397"/>
      <c r="D22" s="397"/>
      <c r="E22" s="66" t="s">
        <v>91</v>
      </c>
      <c r="F22" s="4">
        <v>5</v>
      </c>
      <c r="G22" s="73" t="s">
        <v>1</v>
      </c>
      <c r="H22" s="303" t="s">
        <v>73</v>
      </c>
      <c r="I22" s="4">
        <v>54</v>
      </c>
      <c r="J22" s="74">
        <f>IF(AND(Tuotanto!D6&gt;=F22,H22="x"),F23*I22,0)</f>
        <v>5400</v>
      </c>
      <c r="N22" s="161"/>
      <c r="O22" s="161"/>
      <c r="P22" s="161"/>
      <c r="Q22" s="161"/>
      <c r="R22" s="161"/>
      <c r="S22" s="161"/>
      <c r="T22" s="161"/>
      <c r="U22" s="161"/>
    </row>
    <row r="23" spans="2:28" x14ac:dyDescent="0.25">
      <c r="B23" s="414"/>
      <c r="C23" s="415"/>
      <c r="D23" s="415"/>
      <c r="E23" s="67" t="s">
        <v>92</v>
      </c>
      <c r="F23" s="310">
        <v>100</v>
      </c>
      <c r="G23" s="75" t="s">
        <v>1</v>
      </c>
      <c r="H23" s="75"/>
      <c r="I23" s="10"/>
      <c r="J23" s="30"/>
      <c r="K23" s="58"/>
      <c r="N23" s="161"/>
      <c r="O23" s="161"/>
      <c r="P23" s="161"/>
      <c r="Q23" s="161"/>
      <c r="R23" s="161"/>
      <c r="S23" s="161"/>
      <c r="T23" s="161"/>
      <c r="U23" s="161"/>
    </row>
    <row r="24" spans="2:28" ht="13.8" thickBot="1" x14ac:dyDescent="0.3">
      <c r="B24" s="419"/>
      <c r="C24" s="420"/>
      <c r="D24" s="420"/>
      <c r="E24" s="70"/>
      <c r="F24" s="70"/>
      <c r="G24" s="70"/>
      <c r="H24" s="71"/>
      <c r="I24" s="72" t="s">
        <v>206</v>
      </c>
      <c r="J24" s="317">
        <f>J18+J19+J21+J22</f>
        <v>37801</v>
      </c>
      <c r="N24" s="161"/>
      <c r="O24" s="161"/>
      <c r="P24" s="161"/>
      <c r="Q24" s="161"/>
      <c r="R24" s="161"/>
      <c r="S24" s="161"/>
      <c r="T24" s="161"/>
      <c r="U24" s="161"/>
    </row>
    <row r="25" spans="2:28" x14ac:dyDescent="0.25">
      <c r="B25" s="416"/>
      <c r="C25" s="416"/>
      <c r="D25" s="416"/>
      <c r="J25" s="36"/>
      <c r="N25" s="161"/>
      <c r="O25" s="161"/>
      <c r="P25" s="161"/>
      <c r="Q25" s="161"/>
      <c r="R25" s="161"/>
      <c r="S25" s="161"/>
      <c r="T25" s="161"/>
      <c r="U25" s="161"/>
    </row>
    <row r="26" spans="2:28" ht="15" x14ac:dyDescent="0.25">
      <c r="B26" s="421" t="s">
        <v>11</v>
      </c>
      <c r="C26" s="421"/>
      <c r="D26" s="421"/>
      <c r="E26" s="26"/>
      <c r="F26" s="26"/>
      <c r="G26" s="26"/>
      <c r="H26" s="26"/>
      <c r="I26" s="58"/>
      <c r="J26" s="36"/>
      <c r="L26" s="119"/>
      <c r="N26" s="161"/>
      <c r="O26" s="161"/>
      <c r="P26" s="161"/>
      <c r="Q26" s="161"/>
      <c r="R26" s="161"/>
      <c r="S26" s="161"/>
      <c r="T26" s="161"/>
      <c r="U26" s="161"/>
    </row>
    <row r="27" spans="2:28" ht="15" x14ac:dyDescent="0.25">
      <c r="B27" s="398" t="s">
        <v>76</v>
      </c>
      <c r="C27" s="399"/>
      <c r="D27" s="399"/>
      <c r="E27" s="44" t="s">
        <v>86</v>
      </c>
      <c r="F27" s="43"/>
      <c r="G27" s="43"/>
      <c r="H27" s="44" t="s">
        <v>72</v>
      </c>
      <c r="I27" s="44" t="s">
        <v>77</v>
      </c>
      <c r="J27" s="65" t="s">
        <v>10</v>
      </c>
      <c r="L27" s="119"/>
      <c r="N27" s="161"/>
      <c r="O27" s="161"/>
      <c r="P27" s="161"/>
      <c r="Q27" s="161"/>
      <c r="R27" s="161"/>
      <c r="S27" s="161"/>
      <c r="T27" s="161"/>
      <c r="U27" s="161"/>
    </row>
    <row r="28" spans="2:28" x14ac:dyDescent="0.25">
      <c r="B28" s="422" t="s">
        <v>16</v>
      </c>
      <c r="C28" s="423"/>
      <c r="D28" s="423"/>
      <c r="E28" s="58" t="s">
        <v>87</v>
      </c>
      <c r="F28" s="62">
        <v>4</v>
      </c>
      <c r="G28" s="63" t="s">
        <v>80</v>
      </c>
      <c r="H28" s="303" t="s">
        <v>73</v>
      </c>
      <c r="I28" s="25">
        <v>10</v>
      </c>
      <c r="J28" s="36">
        <f>IF(AND($C$6&gt;=F28,H28="x"),$C$6*I28,0)</f>
        <v>410</v>
      </c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</row>
    <row r="29" spans="2:28" x14ac:dyDescent="0.25">
      <c r="B29" s="410" t="s">
        <v>17</v>
      </c>
      <c r="C29" s="411"/>
      <c r="D29" s="411"/>
      <c r="E29" s="58" t="s">
        <v>87</v>
      </c>
      <c r="F29" s="62">
        <v>4</v>
      </c>
      <c r="G29" s="63" t="s">
        <v>80</v>
      </c>
      <c r="H29" s="303"/>
      <c r="I29" s="25">
        <v>55</v>
      </c>
      <c r="J29" s="36">
        <f t="shared" ref="J29:J33" si="0">IF(AND($C$6&gt;=F29,H29="x"),$C$6*I29,0)</f>
        <v>0</v>
      </c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</row>
    <row r="30" spans="2:28" x14ac:dyDescent="0.25">
      <c r="B30" s="410" t="s">
        <v>18</v>
      </c>
      <c r="C30" s="411"/>
      <c r="D30" s="411"/>
      <c r="E30" s="58" t="s">
        <v>87</v>
      </c>
      <c r="F30" s="62">
        <v>4</v>
      </c>
      <c r="G30" s="63" t="s">
        <v>80</v>
      </c>
      <c r="H30" s="303"/>
      <c r="I30" s="25">
        <v>33</v>
      </c>
      <c r="J30" s="36">
        <f t="shared" si="0"/>
        <v>0</v>
      </c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</row>
    <row r="31" spans="2:28" x14ac:dyDescent="0.25">
      <c r="B31" s="410" t="s">
        <v>19</v>
      </c>
      <c r="C31" s="411"/>
      <c r="D31" s="411"/>
      <c r="E31" s="58"/>
      <c r="F31" s="62"/>
      <c r="G31" s="63"/>
      <c r="H31" s="59"/>
      <c r="I31" s="25"/>
      <c r="J31" s="36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</row>
    <row r="32" spans="2:28" x14ac:dyDescent="0.25">
      <c r="B32" s="410" t="s">
        <v>20</v>
      </c>
      <c r="C32" s="411"/>
      <c r="D32" s="411"/>
      <c r="E32" s="58" t="s">
        <v>87</v>
      </c>
      <c r="F32" s="62">
        <v>4</v>
      </c>
      <c r="G32" s="63" t="s">
        <v>80</v>
      </c>
      <c r="H32" s="303"/>
      <c r="I32" s="27">
        <v>33</v>
      </c>
      <c r="J32" s="36">
        <f t="shared" si="0"/>
        <v>0</v>
      </c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</row>
    <row r="33" spans="2:28" x14ac:dyDescent="0.25">
      <c r="B33" s="412" t="s">
        <v>21</v>
      </c>
      <c r="C33" s="413"/>
      <c r="D33" s="413"/>
      <c r="E33" s="58" t="s">
        <v>87</v>
      </c>
      <c r="F33" s="62">
        <v>4</v>
      </c>
      <c r="G33" s="63" t="s">
        <v>80</v>
      </c>
      <c r="H33" s="303"/>
      <c r="I33" s="37">
        <v>8</v>
      </c>
      <c r="J33" s="36">
        <f t="shared" si="0"/>
        <v>0</v>
      </c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</row>
    <row r="34" spans="2:28" ht="13.8" thickBot="1" x14ac:dyDescent="0.3">
      <c r="B34" s="408"/>
      <c r="C34" s="409"/>
      <c r="D34" s="409"/>
      <c r="E34" s="38"/>
      <c r="F34" s="38"/>
      <c r="G34" s="38"/>
      <c r="H34" s="42"/>
      <c r="I34" s="45" t="s">
        <v>206</v>
      </c>
      <c r="J34" s="39">
        <f>SUM(J28:J33)</f>
        <v>410</v>
      </c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</row>
    <row r="35" spans="2:28" x14ac:dyDescent="0.25">
      <c r="B35" s="416"/>
      <c r="C35" s="416"/>
      <c r="D35" s="416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</row>
    <row r="36" spans="2:28" x14ac:dyDescent="0.25">
      <c r="B36" s="398" t="s">
        <v>85</v>
      </c>
      <c r="C36" s="399"/>
      <c r="D36" s="399"/>
      <c r="E36" s="44" t="s">
        <v>86</v>
      </c>
      <c r="F36" s="43"/>
      <c r="G36" s="43"/>
      <c r="H36" s="44" t="s">
        <v>72</v>
      </c>
      <c r="I36" s="64" t="s">
        <v>88</v>
      </c>
      <c r="J36" s="65" t="s">
        <v>10</v>
      </c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</row>
    <row r="37" spans="2:28" x14ac:dyDescent="0.25">
      <c r="B37" s="417" t="s">
        <v>78</v>
      </c>
      <c r="C37" s="418"/>
      <c r="D37" s="418"/>
      <c r="E37" s="66" t="s">
        <v>79</v>
      </c>
      <c r="F37" s="4">
        <v>0.35</v>
      </c>
      <c r="G37" s="66" t="s">
        <v>80</v>
      </c>
      <c r="H37" s="303" t="s">
        <v>73</v>
      </c>
      <c r="I37" s="4">
        <v>60</v>
      </c>
      <c r="J37" s="5">
        <f>IF(AND($C$7&gt;=F37,H37="x"),$C$5*I37,0)</f>
        <v>3600</v>
      </c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</row>
    <row r="38" spans="2:28" x14ac:dyDescent="0.25">
      <c r="B38" s="406" t="s">
        <v>81</v>
      </c>
      <c r="C38" s="407"/>
      <c r="D38" s="407"/>
      <c r="E38" s="67" t="s">
        <v>79</v>
      </c>
      <c r="F38" s="46">
        <v>0.3</v>
      </c>
      <c r="G38" s="67" t="s">
        <v>80</v>
      </c>
      <c r="H38" s="321"/>
      <c r="I38" s="10">
        <v>134</v>
      </c>
      <c r="J38" s="11">
        <f>IF(AND($C$7&gt;=F38,H38="x"),$C$5*I38,0)</f>
        <v>0</v>
      </c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</row>
    <row r="39" spans="2:28" ht="13.8" thickBot="1" x14ac:dyDescent="0.3">
      <c r="B39" s="408"/>
      <c r="C39" s="409"/>
      <c r="D39" s="409"/>
      <c r="E39" s="38"/>
      <c r="F39" s="38"/>
      <c r="G39" s="38"/>
      <c r="H39" s="42"/>
      <c r="I39" s="45" t="s">
        <v>206</v>
      </c>
      <c r="J39" s="39">
        <f>SUM(J37:J38)</f>
        <v>3600</v>
      </c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</row>
    <row r="40" spans="2:28" x14ac:dyDescent="0.25"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</row>
    <row r="41" spans="2:28" x14ac:dyDescent="0.25"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3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</row>
    <row r="42" spans="2:28" x14ac:dyDescent="0.25"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</row>
    <row r="43" spans="2:28" x14ac:dyDescent="0.25"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</row>
    <row r="44" spans="2:28" x14ac:dyDescent="0.25"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</row>
    <row r="45" spans="2:28" x14ac:dyDescent="0.25">
      <c r="B45" s="161"/>
      <c r="C45" s="161"/>
      <c r="D45" s="161"/>
      <c r="E45" s="161"/>
      <c r="F45" s="161"/>
      <c r="G45" s="161"/>
      <c r="H45" s="161"/>
      <c r="I45" s="161"/>
      <c r="J45" s="163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</row>
    <row r="46" spans="2:28" x14ac:dyDescent="0.25">
      <c r="B46" s="161"/>
      <c r="C46" s="161"/>
      <c r="D46" s="161"/>
      <c r="E46" s="161"/>
      <c r="F46" s="161"/>
      <c r="G46" s="161"/>
      <c r="H46" s="161"/>
      <c r="I46" s="161"/>
      <c r="J46" s="163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</row>
    <row r="47" spans="2:28" x14ac:dyDescent="0.25">
      <c r="B47" s="161"/>
      <c r="C47" s="161"/>
      <c r="D47" s="161"/>
      <c r="E47" s="161"/>
      <c r="F47" s="161"/>
      <c r="G47" s="161"/>
      <c r="H47" s="161"/>
      <c r="I47" s="178"/>
      <c r="J47" s="178"/>
      <c r="K47" s="178"/>
      <c r="L47" s="178"/>
      <c r="M47" s="178"/>
      <c r="N47" s="178"/>
      <c r="O47" s="178"/>
      <c r="P47" s="178"/>
      <c r="Q47" s="161"/>
      <c r="R47" s="161"/>
      <c r="S47" s="161"/>
      <c r="T47" s="161"/>
      <c r="U47" s="161"/>
      <c r="V47" s="161"/>
      <c r="W47" s="161"/>
      <c r="X47" s="161"/>
      <c r="Y47" s="161"/>
    </row>
    <row r="48" spans="2:28" x14ac:dyDescent="0.25">
      <c r="B48" s="161"/>
      <c r="C48" s="161"/>
      <c r="D48" s="161"/>
      <c r="E48" s="161"/>
      <c r="F48" s="161"/>
      <c r="G48" s="161"/>
      <c r="H48" s="161"/>
      <c r="I48" s="178"/>
      <c r="J48" s="178"/>
      <c r="K48" s="178"/>
      <c r="L48" s="178"/>
      <c r="M48" s="178"/>
      <c r="N48" s="178"/>
      <c r="O48" s="178"/>
      <c r="P48" s="178"/>
      <c r="Q48" s="161"/>
      <c r="R48" s="161"/>
      <c r="S48" s="161"/>
      <c r="T48" s="161"/>
      <c r="U48" s="161"/>
      <c r="V48" s="161"/>
      <c r="W48" s="161"/>
      <c r="X48" s="161"/>
      <c r="Y48" s="161"/>
    </row>
    <row r="49" spans="2:25" x14ac:dyDescent="0.25">
      <c r="B49" s="161"/>
      <c r="C49" s="161"/>
      <c r="D49" s="161"/>
      <c r="E49" s="161"/>
      <c r="F49" s="161"/>
      <c r="G49" s="161"/>
      <c r="H49" s="161"/>
      <c r="I49" s="178"/>
      <c r="J49" s="178"/>
      <c r="K49" s="178"/>
      <c r="L49" s="178"/>
      <c r="M49" s="178"/>
      <c r="N49" s="178"/>
      <c r="O49" s="178"/>
      <c r="P49" s="178"/>
      <c r="Q49" s="161"/>
      <c r="R49" s="161"/>
      <c r="S49" s="161"/>
      <c r="T49" s="161"/>
      <c r="U49" s="161"/>
      <c r="V49" s="161"/>
      <c r="W49" s="161"/>
      <c r="X49" s="161"/>
      <c r="Y49" s="161"/>
    </row>
    <row r="50" spans="2:25" x14ac:dyDescent="0.25">
      <c r="B50" s="161"/>
      <c r="C50" s="161"/>
      <c r="D50" s="161"/>
      <c r="E50" s="161"/>
      <c r="F50" s="161"/>
      <c r="G50" s="161"/>
      <c r="H50" s="161"/>
      <c r="I50" s="178"/>
      <c r="J50" s="178"/>
      <c r="K50" s="178"/>
      <c r="L50" s="178"/>
      <c r="M50" s="178"/>
      <c r="N50" s="178"/>
      <c r="O50" s="178"/>
      <c r="P50" s="178"/>
      <c r="Q50" s="161"/>
      <c r="R50" s="161"/>
      <c r="S50" s="161"/>
      <c r="T50" s="161"/>
      <c r="U50" s="161"/>
      <c r="V50" s="161"/>
      <c r="W50" s="161"/>
      <c r="X50" s="161"/>
      <c r="Y50" s="161"/>
    </row>
    <row r="51" spans="2:25" x14ac:dyDescent="0.25">
      <c r="B51" s="161"/>
      <c r="C51" s="161"/>
      <c r="D51" s="161"/>
      <c r="E51" s="161"/>
      <c r="F51" s="161"/>
      <c r="G51" s="161"/>
      <c r="H51" s="161"/>
      <c r="I51" s="178"/>
      <c r="J51" s="178"/>
      <c r="K51" s="178"/>
      <c r="L51" s="178"/>
      <c r="M51" s="178"/>
      <c r="N51" s="178"/>
      <c r="O51" s="178"/>
      <c r="P51" s="178"/>
      <c r="Q51" s="161"/>
      <c r="R51" s="161"/>
      <c r="S51" s="161"/>
      <c r="T51" s="161"/>
      <c r="U51" s="161"/>
      <c r="V51" s="161"/>
      <c r="W51" s="161"/>
      <c r="X51" s="161"/>
      <c r="Y51" s="161"/>
    </row>
    <row r="52" spans="2:25" x14ac:dyDescent="0.25">
      <c r="B52" s="161"/>
      <c r="C52" s="161"/>
      <c r="D52" s="161"/>
      <c r="E52" s="161"/>
      <c r="F52" s="161"/>
      <c r="G52" s="161"/>
      <c r="H52" s="161"/>
      <c r="I52" s="178"/>
      <c r="J52" s="187"/>
      <c r="K52" s="178"/>
      <c r="L52" s="178"/>
      <c r="M52" s="178"/>
      <c r="N52" s="178"/>
      <c r="O52" s="178"/>
      <c r="P52" s="178"/>
      <c r="Q52" s="161"/>
      <c r="R52" s="161"/>
      <c r="S52" s="161"/>
      <c r="T52" s="161"/>
      <c r="U52" s="161"/>
      <c r="V52" s="161"/>
      <c r="W52" s="161"/>
      <c r="X52" s="161"/>
      <c r="Y52" s="161"/>
    </row>
    <row r="53" spans="2:25" x14ac:dyDescent="0.25">
      <c r="B53" s="161"/>
      <c r="C53" s="161"/>
      <c r="D53" s="161"/>
      <c r="E53" s="161"/>
      <c r="F53" s="161"/>
      <c r="G53" s="161"/>
      <c r="H53" s="161"/>
      <c r="I53" s="178"/>
      <c r="J53" s="178"/>
      <c r="K53" s="178"/>
      <c r="L53" s="178"/>
      <c r="M53" s="178"/>
      <c r="N53" s="178"/>
      <c r="O53" s="178"/>
      <c r="P53" s="178"/>
      <c r="Q53" s="161"/>
      <c r="R53" s="161"/>
      <c r="S53" s="161"/>
      <c r="T53" s="161"/>
      <c r="U53" s="161"/>
      <c r="V53" s="161"/>
      <c r="W53" s="161"/>
      <c r="X53" s="161"/>
      <c r="Y53" s="161"/>
    </row>
    <row r="54" spans="2:25" x14ac:dyDescent="0.25">
      <c r="B54" s="161"/>
      <c r="C54" s="161"/>
      <c r="D54" s="161"/>
      <c r="E54" s="161"/>
      <c r="F54" s="161"/>
      <c r="G54" s="161"/>
      <c r="H54" s="161"/>
      <c r="I54" s="178"/>
      <c r="J54" s="178"/>
      <c r="K54" s="178"/>
      <c r="L54" s="178"/>
      <c r="M54" s="178"/>
      <c r="N54" s="184"/>
      <c r="O54" s="178"/>
      <c r="P54" s="178"/>
      <c r="Q54" s="161"/>
      <c r="R54" s="161"/>
      <c r="S54" s="161"/>
      <c r="T54" s="161"/>
      <c r="U54" s="161"/>
      <c r="V54" s="161"/>
      <c r="W54" s="161"/>
      <c r="X54" s="161"/>
      <c r="Y54" s="161"/>
    </row>
    <row r="55" spans="2:25" x14ac:dyDescent="0.25">
      <c r="B55" s="161"/>
      <c r="C55" s="161"/>
      <c r="D55" s="161"/>
      <c r="E55" s="161"/>
      <c r="F55" s="161"/>
      <c r="G55" s="161"/>
      <c r="H55" s="161"/>
      <c r="I55" s="178"/>
      <c r="J55" s="178"/>
      <c r="K55" s="178"/>
      <c r="L55" s="178"/>
      <c r="M55" s="178"/>
      <c r="N55" s="184"/>
      <c r="O55" s="178"/>
      <c r="P55" s="178"/>
      <c r="Q55" s="161"/>
      <c r="R55" s="161"/>
      <c r="S55" s="161"/>
      <c r="T55" s="161"/>
      <c r="U55" s="161"/>
      <c r="V55" s="161"/>
      <c r="W55" s="161"/>
      <c r="X55" s="161"/>
      <c r="Y55" s="161"/>
    </row>
    <row r="56" spans="2:25" x14ac:dyDescent="0.25">
      <c r="B56" s="161"/>
      <c r="C56" s="161"/>
      <c r="D56" s="161"/>
      <c r="E56" s="161"/>
      <c r="F56" s="161"/>
      <c r="G56" s="161"/>
      <c r="H56" s="161"/>
      <c r="I56" s="178"/>
      <c r="J56" s="178"/>
      <c r="K56" s="178"/>
      <c r="L56" s="178"/>
      <c r="M56" s="178"/>
      <c r="N56" s="178"/>
      <c r="O56" s="178"/>
      <c r="P56" s="178"/>
      <c r="Q56" s="161"/>
      <c r="R56" s="161"/>
      <c r="S56" s="161"/>
      <c r="T56" s="161"/>
      <c r="U56" s="161"/>
      <c r="V56" s="161"/>
      <c r="W56" s="161"/>
      <c r="X56" s="161"/>
      <c r="Y56" s="161"/>
    </row>
    <row r="57" spans="2:25" x14ac:dyDescent="0.25">
      <c r="B57" s="161"/>
      <c r="C57" s="161"/>
      <c r="D57" s="161"/>
      <c r="E57" s="161"/>
      <c r="F57" s="161"/>
      <c r="G57" s="161"/>
      <c r="H57" s="161"/>
      <c r="I57" s="178"/>
      <c r="J57" s="178"/>
      <c r="K57" s="178"/>
      <c r="L57" s="178"/>
      <c r="M57" s="188"/>
      <c r="N57" s="185"/>
      <c r="O57" s="178"/>
      <c r="P57" s="178"/>
      <c r="Q57" s="161"/>
      <c r="R57" s="161"/>
      <c r="S57" s="161"/>
      <c r="T57" s="161"/>
      <c r="U57" s="161"/>
      <c r="V57" s="161"/>
      <c r="W57" s="161"/>
      <c r="X57" s="161"/>
      <c r="Y57" s="161"/>
    </row>
    <row r="58" spans="2:25" x14ac:dyDescent="0.25">
      <c r="B58" s="161"/>
      <c r="C58" s="161"/>
      <c r="D58" s="161"/>
      <c r="E58" s="161"/>
      <c r="F58" s="161"/>
      <c r="G58" s="161"/>
      <c r="H58" s="161"/>
      <c r="I58" s="178"/>
      <c r="J58" s="178"/>
      <c r="K58" s="178"/>
      <c r="L58" s="178"/>
      <c r="M58" s="186"/>
      <c r="N58" s="186"/>
      <c r="O58" s="178"/>
      <c r="P58" s="178"/>
      <c r="Q58" s="161"/>
      <c r="R58" s="161"/>
      <c r="S58" s="161"/>
      <c r="T58" s="161"/>
      <c r="U58" s="161"/>
      <c r="V58" s="161"/>
      <c r="W58" s="161"/>
      <c r="X58" s="161"/>
      <c r="Y58" s="161"/>
    </row>
    <row r="59" spans="2:25" x14ac:dyDescent="0.25">
      <c r="B59" s="161"/>
      <c r="C59" s="161"/>
      <c r="D59" s="161"/>
      <c r="E59" s="161"/>
      <c r="F59" s="161"/>
      <c r="G59" s="161"/>
      <c r="H59" s="161"/>
      <c r="I59" s="178"/>
      <c r="J59" s="178"/>
      <c r="K59" s="178"/>
      <c r="L59" s="178"/>
      <c r="M59" s="186"/>
      <c r="N59" s="186"/>
      <c r="O59" s="178"/>
      <c r="P59" s="178"/>
      <c r="Q59" s="161"/>
      <c r="R59" s="161"/>
      <c r="S59" s="161"/>
      <c r="T59" s="161"/>
      <c r="U59" s="161"/>
      <c r="V59" s="161"/>
      <c r="W59" s="161"/>
      <c r="X59" s="161"/>
      <c r="Y59" s="161"/>
    </row>
    <row r="60" spans="2:25" x14ac:dyDescent="0.25">
      <c r="B60" s="161"/>
      <c r="C60" s="161"/>
      <c r="D60" s="161"/>
      <c r="E60" s="161"/>
      <c r="F60" s="161"/>
      <c r="G60" s="161"/>
      <c r="H60" s="161"/>
      <c r="I60" s="178"/>
      <c r="J60" s="178"/>
      <c r="K60" s="178"/>
      <c r="L60" s="178"/>
      <c r="M60" s="186"/>
      <c r="N60" s="184"/>
      <c r="O60" s="178"/>
      <c r="P60" s="178"/>
      <c r="Q60" s="161"/>
      <c r="R60" s="161"/>
      <c r="S60" s="161"/>
      <c r="T60" s="161"/>
      <c r="U60" s="161"/>
      <c r="V60" s="161"/>
      <c r="W60" s="161"/>
      <c r="X60" s="161"/>
      <c r="Y60" s="161"/>
    </row>
    <row r="61" spans="2:25" x14ac:dyDescent="0.25">
      <c r="B61" s="161"/>
      <c r="C61" s="161"/>
      <c r="D61" s="161"/>
      <c r="E61" s="161"/>
      <c r="F61" s="161"/>
      <c r="G61" s="161"/>
      <c r="H61" s="161"/>
      <c r="I61" s="178"/>
      <c r="J61" s="178"/>
      <c r="K61" s="178"/>
      <c r="L61" s="178"/>
      <c r="M61" s="178"/>
      <c r="N61" s="184"/>
      <c r="O61" s="178"/>
      <c r="P61" s="178"/>
      <c r="Q61" s="161"/>
      <c r="R61" s="161"/>
      <c r="S61" s="161"/>
      <c r="T61" s="161"/>
      <c r="U61" s="161"/>
      <c r="V61" s="161"/>
      <c r="W61" s="161"/>
      <c r="X61" s="161"/>
      <c r="Y61" s="161"/>
    </row>
    <row r="62" spans="2:25" x14ac:dyDescent="0.25">
      <c r="B62" s="161"/>
      <c r="C62" s="161"/>
      <c r="D62" s="161"/>
      <c r="E62" s="161"/>
      <c r="F62" s="161"/>
      <c r="G62" s="161"/>
      <c r="H62" s="161"/>
      <c r="I62" s="178"/>
      <c r="J62" s="178"/>
      <c r="K62" s="178"/>
      <c r="L62" s="178"/>
      <c r="M62" s="178"/>
      <c r="N62" s="184"/>
      <c r="O62" s="178"/>
      <c r="P62" s="178"/>
      <c r="Q62" s="161"/>
      <c r="R62" s="161"/>
      <c r="S62" s="161"/>
      <c r="T62" s="161"/>
      <c r="U62" s="161"/>
      <c r="V62" s="161"/>
      <c r="W62" s="161"/>
      <c r="X62" s="161"/>
      <c r="Y62" s="161"/>
    </row>
    <row r="63" spans="2:25" x14ac:dyDescent="0.25">
      <c r="B63" s="161"/>
      <c r="C63" s="161"/>
      <c r="D63" s="161"/>
      <c r="E63" s="161"/>
      <c r="F63" s="161"/>
      <c r="G63" s="161"/>
      <c r="H63" s="161"/>
      <c r="I63" s="178"/>
      <c r="J63" s="178"/>
      <c r="K63" s="178"/>
      <c r="L63" s="178"/>
      <c r="M63" s="178"/>
      <c r="N63" s="184"/>
      <c r="O63" s="178"/>
      <c r="P63" s="178"/>
      <c r="Q63" s="161"/>
      <c r="R63" s="161"/>
      <c r="S63" s="161"/>
      <c r="T63" s="161"/>
      <c r="U63" s="161"/>
      <c r="V63" s="161"/>
      <c r="W63" s="161"/>
      <c r="X63" s="161"/>
      <c r="Y63" s="161"/>
    </row>
    <row r="64" spans="2:25" x14ac:dyDescent="0.25">
      <c r="B64" s="161"/>
      <c r="C64" s="161"/>
      <c r="D64" s="161"/>
      <c r="E64" s="161"/>
      <c r="F64" s="161"/>
      <c r="G64" s="161"/>
      <c r="H64" s="161"/>
      <c r="I64" s="178"/>
      <c r="J64" s="187"/>
      <c r="K64" s="187"/>
      <c r="L64" s="187"/>
      <c r="M64" s="187"/>
      <c r="N64" s="184"/>
      <c r="O64" s="178"/>
      <c r="P64" s="178"/>
      <c r="Q64" s="161"/>
      <c r="R64" s="161"/>
      <c r="S64" s="161"/>
      <c r="T64" s="161"/>
      <c r="U64" s="161"/>
      <c r="V64" s="161"/>
      <c r="W64" s="161"/>
      <c r="X64" s="161"/>
      <c r="Y64" s="161"/>
    </row>
    <row r="65" spans="2:25" x14ac:dyDescent="0.25">
      <c r="B65" s="161"/>
      <c r="C65" s="161"/>
      <c r="D65" s="161"/>
      <c r="E65" s="161"/>
      <c r="F65" s="161"/>
      <c r="G65" s="161"/>
      <c r="H65" s="161"/>
      <c r="I65" s="178"/>
      <c r="J65" s="187"/>
      <c r="K65" s="178"/>
      <c r="L65" s="178"/>
      <c r="M65" s="187"/>
      <c r="N65" s="184"/>
      <c r="O65" s="178"/>
      <c r="P65" s="178"/>
      <c r="Q65" s="161"/>
      <c r="R65" s="161"/>
      <c r="S65" s="161"/>
      <c r="T65" s="161"/>
      <c r="U65" s="161"/>
      <c r="V65" s="161"/>
      <c r="W65" s="161"/>
      <c r="X65" s="161"/>
      <c r="Y65" s="161"/>
    </row>
    <row r="66" spans="2:25" x14ac:dyDescent="0.25">
      <c r="B66" s="161"/>
      <c r="C66" s="161"/>
      <c r="D66" s="161"/>
      <c r="E66" s="161"/>
      <c r="F66" s="161"/>
      <c r="G66" s="161"/>
      <c r="H66" s="161"/>
      <c r="I66" s="178"/>
      <c r="J66" s="178"/>
      <c r="K66" s="178"/>
      <c r="L66" s="178"/>
      <c r="M66" s="178"/>
      <c r="N66" s="178"/>
      <c r="O66" s="178"/>
      <c r="P66" s="178"/>
      <c r="Q66" s="161"/>
      <c r="R66" s="161"/>
      <c r="S66" s="161"/>
      <c r="T66" s="161"/>
      <c r="U66" s="161"/>
      <c r="V66" s="161"/>
      <c r="W66" s="161"/>
      <c r="X66" s="161"/>
      <c r="Y66" s="161"/>
    </row>
    <row r="67" spans="2:25" x14ac:dyDescent="0.25">
      <c r="B67" s="161"/>
      <c r="C67" s="161"/>
      <c r="D67" s="161"/>
      <c r="E67" s="161"/>
      <c r="F67" s="161"/>
      <c r="G67" s="161"/>
      <c r="H67" s="161"/>
      <c r="I67" s="178"/>
      <c r="J67" s="178"/>
      <c r="K67" s="178"/>
      <c r="L67" s="178"/>
      <c r="M67" s="178"/>
      <c r="N67" s="178"/>
      <c r="O67" s="178"/>
      <c r="P67" s="178"/>
      <c r="Q67" s="161"/>
      <c r="R67" s="161"/>
      <c r="S67" s="161"/>
      <c r="T67" s="161"/>
      <c r="U67" s="161"/>
      <c r="V67" s="161"/>
      <c r="W67" s="161"/>
      <c r="X67" s="161"/>
      <c r="Y67" s="161"/>
    </row>
    <row r="68" spans="2:25" x14ac:dyDescent="0.25">
      <c r="B68" s="161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</row>
    <row r="69" spans="2:25" x14ac:dyDescent="0.25"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</row>
    <row r="70" spans="2:25" x14ac:dyDescent="0.25"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</row>
    <row r="71" spans="2:25" x14ac:dyDescent="0.25"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</row>
    <row r="72" spans="2:25" x14ac:dyDescent="0.25">
      <c r="B72" s="161"/>
      <c r="C72" s="161"/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</row>
    <row r="73" spans="2:25" x14ac:dyDescent="0.25">
      <c r="B73" s="161"/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</row>
    <row r="74" spans="2:25" x14ac:dyDescent="0.25">
      <c r="B74" s="161"/>
      <c r="C74" s="161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</row>
    <row r="75" spans="2:25" x14ac:dyDescent="0.25">
      <c r="B75" s="161"/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</row>
    <row r="76" spans="2:25" x14ac:dyDescent="0.25">
      <c r="B76" s="161"/>
      <c r="C76" s="161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</row>
    <row r="77" spans="2:25" x14ac:dyDescent="0.25">
      <c r="B77" s="161"/>
      <c r="C77" s="161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</row>
    <row r="78" spans="2:25" x14ac:dyDescent="0.25">
      <c r="B78" s="161"/>
      <c r="C78" s="161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</row>
    <row r="79" spans="2:25" x14ac:dyDescent="0.25">
      <c r="B79" s="161"/>
      <c r="C79" s="161"/>
      <c r="D79" s="161"/>
      <c r="E79" s="161"/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</row>
    <row r="80" spans="2:25" x14ac:dyDescent="0.25">
      <c r="B80" s="161"/>
      <c r="C80" s="161"/>
      <c r="D80" s="161"/>
      <c r="E80" s="161"/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</row>
    <row r="81" spans="2:25" x14ac:dyDescent="0.25">
      <c r="B81" s="161"/>
      <c r="C81" s="161"/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</row>
    <row r="82" spans="2:25" x14ac:dyDescent="0.25">
      <c r="B82" s="161"/>
      <c r="C82" s="161"/>
      <c r="D82" s="161"/>
      <c r="E82" s="161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</row>
    <row r="83" spans="2:25" x14ac:dyDescent="0.25">
      <c r="B83" s="161"/>
      <c r="C83" s="161"/>
      <c r="D83" s="161"/>
      <c r="E83" s="161"/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</row>
    <row r="84" spans="2:25" x14ac:dyDescent="0.25">
      <c r="B84" s="161"/>
      <c r="C84" s="161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</row>
    <row r="85" spans="2:25" x14ac:dyDescent="0.25">
      <c r="B85" s="161"/>
      <c r="C85" s="161"/>
      <c r="D85" s="161"/>
      <c r="E85" s="161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</row>
    <row r="86" spans="2:25" x14ac:dyDescent="0.25">
      <c r="B86" s="161"/>
      <c r="C86" s="161"/>
      <c r="D86" s="161"/>
      <c r="E86" s="161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</row>
    <row r="87" spans="2:25" x14ac:dyDescent="0.25">
      <c r="B87" s="161"/>
      <c r="C87" s="161"/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</row>
    <row r="88" spans="2:25" x14ac:dyDescent="0.25">
      <c r="B88" s="161"/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</row>
    <row r="89" spans="2:25" x14ac:dyDescent="0.25">
      <c r="B89" s="161"/>
      <c r="C89" s="161"/>
      <c r="D89" s="161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</row>
    <row r="90" spans="2:25" x14ac:dyDescent="0.25">
      <c r="B90" s="161"/>
      <c r="C90" s="161"/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</row>
    <row r="91" spans="2:25" x14ac:dyDescent="0.25">
      <c r="B91" s="161"/>
      <c r="C91" s="161"/>
      <c r="D91" s="161"/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</row>
    <row r="92" spans="2:25" x14ac:dyDescent="0.25">
      <c r="B92" s="161"/>
      <c r="C92" s="161"/>
      <c r="D92" s="161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</row>
  </sheetData>
  <sheetProtection sheet="1" objects="1" scenarios="1"/>
  <protectedRanges>
    <protectedRange sqref="C4" name="Alue1"/>
  </protectedRanges>
  <mergeCells count="23">
    <mergeCell ref="B23:D23"/>
    <mergeCell ref="B35:D35"/>
    <mergeCell ref="B36:D36"/>
    <mergeCell ref="B37:D37"/>
    <mergeCell ref="B24:D24"/>
    <mergeCell ref="B25:D25"/>
    <mergeCell ref="B26:D26"/>
    <mergeCell ref="B27:D27"/>
    <mergeCell ref="B28:D28"/>
    <mergeCell ref="B38:D38"/>
    <mergeCell ref="B39:D39"/>
    <mergeCell ref="B29:D29"/>
    <mergeCell ref="B30:D30"/>
    <mergeCell ref="B31:D31"/>
    <mergeCell ref="B32:D32"/>
    <mergeCell ref="B33:D33"/>
    <mergeCell ref="B34:D34"/>
    <mergeCell ref="B22:D22"/>
    <mergeCell ref="B17:D17"/>
    <mergeCell ref="B18:D18"/>
    <mergeCell ref="B19:D19"/>
    <mergeCell ref="B20:D20"/>
    <mergeCell ref="B21:D21"/>
  </mergeCells>
  <dataValidations count="1">
    <dataValidation type="list" allowBlank="1" showErrorMessage="1" sqref="C4" xr:uid="{8730B7BE-E9A9-40CA-9AE7-A3E0AEA4C66E}">
      <formula1>tukialue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54"/>
  <sheetViews>
    <sheetView showRowColHeaders="0" zoomScale="70" zoomScaleNormal="70" workbookViewId="0">
      <selection activeCell="G32" sqref="G32"/>
    </sheetView>
  </sheetViews>
  <sheetFormatPr defaultRowHeight="13.2" x14ac:dyDescent="0.25"/>
  <cols>
    <col min="2" max="2" width="31" bestFit="1" customWidth="1"/>
    <col min="3" max="3" width="23" customWidth="1"/>
    <col min="4" max="4" width="22.6640625" bestFit="1" customWidth="1"/>
    <col min="5" max="5" width="14.88671875" bestFit="1" customWidth="1"/>
    <col min="6" max="6" width="13" customWidth="1"/>
    <col min="7" max="7" width="10.88671875" bestFit="1" customWidth="1"/>
    <col min="8" max="8" width="15.5546875" bestFit="1" customWidth="1"/>
    <col min="9" max="9" width="21.33203125" bestFit="1" customWidth="1"/>
    <col min="10" max="10" width="16.44140625" bestFit="1" customWidth="1"/>
    <col min="11" max="11" width="13.44140625" bestFit="1" customWidth="1"/>
    <col min="12" max="12" width="20.33203125" customWidth="1"/>
    <col min="13" max="13" width="10.88671875" bestFit="1" customWidth="1"/>
  </cols>
  <sheetData>
    <row r="1" spans="2:17" x14ac:dyDescent="0.25">
      <c r="B1" s="54" t="s">
        <v>0</v>
      </c>
    </row>
    <row r="2" spans="2:17" ht="15.6" x14ac:dyDescent="0.3">
      <c r="B2" s="1" t="s">
        <v>59</v>
      </c>
      <c r="D2" s="84">
        <f>E12+E21+C48+C38+C30</f>
        <v>32515</v>
      </c>
    </row>
    <row r="3" spans="2:17" x14ac:dyDescent="0.25">
      <c r="B3" s="31"/>
      <c r="M3" s="58"/>
    </row>
    <row r="4" spans="2:17" ht="13.8" thickBot="1" x14ac:dyDescent="0.3">
      <c r="B4" s="7"/>
      <c r="C4" s="50"/>
      <c r="D4" s="208" t="s">
        <v>162</v>
      </c>
      <c r="I4" s="208" t="s">
        <v>167</v>
      </c>
    </row>
    <row r="5" spans="2:17" x14ac:dyDescent="0.25">
      <c r="B5" s="243" t="s">
        <v>107</v>
      </c>
      <c r="C5" s="175" t="s">
        <v>218</v>
      </c>
      <c r="D5" s="175" t="s">
        <v>3</v>
      </c>
      <c r="E5" s="235" t="s">
        <v>180</v>
      </c>
      <c r="G5" s="180" t="s">
        <v>161</v>
      </c>
      <c r="H5" s="182"/>
      <c r="I5" s="182"/>
      <c r="J5" s="182"/>
      <c r="K5" s="193"/>
      <c r="O5" s="18"/>
      <c r="P5" s="7"/>
    </row>
    <row r="6" spans="2:17" x14ac:dyDescent="0.25">
      <c r="B6" s="323" t="s">
        <v>182</v>
      </c>
      <c r="C6" s="302">
        <v>0</v>
      </c>
      <c r="D6" s="302"/>
      <c r="E6" s="236">
        <f>C6*D6</f>
        <v>0</v>
      </c>
      <c r="G6" s="147"/>
      <c r="H6" s="199" t="s">
        <v>151</v>
      </c>
      <c r="I6" s="199" t="s">
        <v>155</v>
      </c>
      <c r="J6" s="199" t="s">
        <v>154</v>
      </c>
      <c r="K6" s="200" t="s">
        <v>153</v>
      </c>
      <c r="O6" s="18"/>
      <c r="Q6" s="58"/>
    </row>
    <row r="7" spans="2:17" x14ac:dyDescent="0.25">
      <c r="B7" s="323" t="s">
        <v>150</v>
      </c>
      <c r="C7" s="302">
        <v>240000</v>
      </c>
      <c r="D7" s="326">
        <v>3.4000000000000002E-2</v>
      </c>
      <c r="E7" s="237">
        <f>C7*D7</f>
        <v>8160.0000000000009</v>
      </c>
      <c r="G7" s="166" t="s">
        <v>159</v>
      </c>
      <c r="H7" s="302">
        <v>11.35</v>
      </c>
      <c r="I7" s="302">
        <v>0.14000000000000001</v>
      </c>
      <c r="J7" s="302">
        <v>1.4999999999999999E-2</v>
      </c>
      <c r="K7" s="201">
        <f>I7+J7</f>
        <v>0.15500000000000003</v>
      </c>
    </row>
    <row r="8" spans="2:17" x14ac:dyDescent="0.25">
      <c r="B8" s="323"/>
      <c r="C8" s="302">
        <v>0</v>
      </c>
      <c r="D8" s="302"/>
      <c r="E8" s="236">
        <f>C8*D8</f>
        <v>0</v>
      </c>
      <c r="G8" s="147"/>
      <c r="H8" s="202"/>
      <c r="I8" s="202"/>
      <c r="J8" s="202"/>
      <c r="K8" s="201"/>
    </row>
    <row r="9" spans="2:17" x14ac:dyDescent="0.25">
      <c r="B9" s="324"/>
      <c r="C9" s="302">
        <v>0</v>
      </c>
      <c r="D9" s="327"/>
      <c r="E9" s="238">
        <f>C9*D9</f>
        <v>0</v>
      </c>
      <c r="G9" s="147"/>
      <c r="H9" s="199" t="s">
        <v>156</v>
      </c>
      <c r="I9" s="199" t="s">
        <v>157</v>
      </c>
      <c r="J9" s="199" t="s">
        <v>158</v>
      </c>
      <c r="K9" s="203" t="s">
        <v>153</v>
      </c>
    </row>
    <row r="10" spans="2:17" x14ac:dyDescent="0.25">
      <c r="B10" s="325"/>
      <c r="C10" s="328">
        <v>0</v>
      </c>
      <c r="D10" s="328"/>
      <c r="E10" s="239">
        <f t="shared" ref="E10:E11" si="0">C10*D10</f>
        <v>0</v>
      </c>
      <c r="G10" s="166" t="s">
        <v>150</v>
      </c>
      <c r="H10" s="302">
        <v>250</v>
      </c>
      <c r="I10" s="302">
        <v>10.5</v>
      </c>
      <c r="J10" s="202">
        <f>H10/1000*I10</f>
        <v>2.625</v>
      </c>
      <c r="K10" s="204">
        <f>J10*K7/H7</f>
        <v>3.5848017621145381E-2</v>
      </c>
    </row>
    <row r="11" spans="2:17" x14ac:dyDescent="0.25">
      <c r="B11" s="323"/>
      <c r="C11" s="302">
        <v>0</v>
      </c>
      <c r="D11" s="302"/>
      <c r="E11" s="236">
        <f t="shared" si="0"/>
        <v>0</v>
      </c>
      <c r="G11" s="147"/>
      <c r="H11" s="202"/>
      <c r="I11" s="202"/>
      <c r="J11" s="202"/>
      <c r="K11" s="205"/>
    </row>
    <row r="12" spans="2:17" ht="13.8" thickBot="1" x14ac:dyDescent="0.3">
      <c r="B12" s="244" t="s">
        <v>52</v>
      </c>
      <c r="C12" s="240">
        <f>SUM(C6:C11)</f>
        <v>240000</v>
      </c>
      <c r="D12" s="240"/>
      <c r="E12" s="241">
        <f>SUM(E6:E11)</f>
        <v>8160.0000000000009</v>
      </c>
      <c r="G12" s="147"/>
      <c r="H12" s="199" t="s">
        <v>156</v>
      </c>
      <c r="I12" s="199" t="s">
        <v>157</v>
      </c>
      <c r="J12" s="199" t="s">
        <v>158</v>
      </c>
      <c r="K12" s="203" t="s">
        <v>153</v>
      </c>
    </row>
    <row r="13" spans="2:17" ht="13.8" thickBot="1" x14ac:dyDescent="0.3">
      <c r="B13" s="245"/>
      <c r="C13" s="202"/>
      <c r="D13" s="202"/>
      <c r="E13" s="242"/>
      <c r="G13" s="159" t="s">
        <v>160</v>
      </c>
      <c r="H13" s="302">
        <v>200</v>
      </c>
      <c r="I13" s="302">
        <v>11.3</v>
      </c>
      <c r="J13" s="206">
        <f>H13/1000*I13</f>
        <v>2.2600000000000002</v>
      </c>
      <c r="K13" s="207">
        <f>J13*K7/H7</f>
        <v>3.0863436123348027E-2</v>
      </c>
    </row>
    <row r="14" spans="2:17" x14ac:dyDescent="0.25">
      <c r="B14" s="243" t="s">
        <v>130</v>
      </c>
      <c r="C14" s="175" t="s">
        <v>218</v>
      </c>
      <c r="D14" s="175" t="s">
        <v>3</v>
      </c>
      <c r="E14" s="235" t="s">
        <v>180</v>
      </c>
    </row>
    <row r="15" spans="2:17" x14ac:dyDescent="0.25">
      <c r="B15" s="323" t="s">
        <v>178</v>
      </c>
      <c r="C15" s="302">
        <v>34300</v>
      </c>
      <c r="D15" s="302">
        <v>0.35</v>
      </c>
      <c r="E15" s="236">
        <f>C15*D15</f>
        <v>12005</v>
      </c>
      <c r="O15" s="2"/>
      <c r="P15" s="2"/>
    </row>
    <row r="16" spans="2:17" x14ac:dyDescent="0.25">
      <c r="B16" s="329"/>
      <c r="C16" s="302">
        <v>0</v>
      </c>
      <c r="D16" s="331"/>
      <c r="E16" s="237">
        <f>C16*D16</f>
        <v>0</v>
      </c>
      <c r="G16" s="158"/>
    </row>
    <row r="17" spans="2:12" s="143" customFormat="1" x14ac:dyDescent="0.25">
      <c r="B17" s="323"/>
      <c r="C17" s="302">
        <v>0</v>
      </c>
      <c r="D17" s="302"/>
      <c r="E17" s="236">
        <f>C17*D17</f>
        <v>0</v>
      </c>
      <c r="F17" s="164"/>
      <c r="G17" s="148"/>
      <c r="H17" s="148"/>
      <c r="I17" s="197"/>
    </row>
    <row r="18" spans="2:12" s="143" customFormat="1" x14ac:dyDescent="0.25">
      <c r="B18" s="323"/>
      <c r="C18" s="302">
        <v>0</v>
      </c>
      <c r="D18" s="302"/>
      <c r="E18" s="236">
        <f>C18*D18</f>
        <v>0</v>
      </c>
      <c r="F18" s="164"/>
      <c r="G18" s="158"/>
      <c r="H18" s="148"/>
      <c r="I18" s="197"/>
    </row>
    <row r="19" spans="2:12" s="143" customFormat="1" x14ac:dyDescent="0.25">
      <c r="B19" s="330"/>
      <c r="C19" s="328">
        <v>0</v>
      </c>
      <c r="D19" s="328"/>
      <c r="E19" s="239">
        <f t="shared" ref="E19:E20" si="1">C19*D19</f>
        <v>0</v>
      </c>
      <c r="F19" s="164"/>
      <c r="G19" s="148"/>
      <c r="H19" s="148"/>
      <c r="I19" s="197"/>
    </row>
    <row r="20" spans="2:12" s="143" customFormat="1" x14ac:dyDescent="0.25">
      <c r="B20" s="325"/>
      <c r="C20" s="328">
        <v>0</v>
      </c>
      <c r="D20" s="328"/>
      <c r="E20" s="239">
        <f t="shared" si="1"/>
        <v>0</v>
      </c>
      <c r="F20" s="164"/>
      <c r="G20" s="148"/>
      <c r="H20" s="148"/>
      <c r="I20" s="197"/>
    </row>
    <row r="21" spans="2:12" s="143" customFormat="1" ht="13.8" thickBot="1" x14ac:dyDescent="0.3">
      <c r="B21" s="172" t="s">
        <v>52</v>
      </c>
      <c r="C21" s="240">
        <f>SUM(C15:C20)</f>
        <v>34300</v>
      </c>
      <c r="D21" s="240"/>
      <c r="E21" s="241">
        <f>SUM(E15:E20)</f>
        <v>12005</v>
      </c>
      <c r="F21" s="164"/>
      <c r="G21" s="148"/>
      <c r="H21" s="148"/>
      <c r="I21" s="197"/>
    </row>
    <row r="22" spans="2:12" s="143" customFormat="1" ht="13.8" thickBot="1" x14ac:dyDescent="0.3">
      <c r="B22" s="164"/>
      <c r="C22" s="148"/>
      <c r="D22" s="148"/>
      <c r="E22" s="196"/>
      <c r="F22" s="164"/>
      <c r="G22" s="155"/>
      <c r="H22" s="148"/>
      <c r="I22" s="197"/>
    </row>
    <row r="23" spans="2:12" s="143" customFormat="1" x14ac:dyDescent="0.25">
      <c r="B23" s="113" t="s">
        <v>152</v>
      </c>
      <c r="C23" s="235" t="s">
        <v>181</v>
      </c>
      <c r="D23"/>
      <c r="E23"/>
      <c r="F23" s="164"/>
      <c r="G23" s="158"/>
      <c r="H23"/>
      <c r="I23" s="198"/>
      <c r="J23"/>
      <c r="K23" s="142"/>
      <c r="L23"/>
    </row>
    <row r="24" spans="2:12" s="143" customFormat="1" x14ac:dyDescent="0.25">
      <c r="B24" s="332" t="s">
        <v>95</v>
      </c>
      <c r="C24" s="336">
        <v>600</v>
      </c>
      <c r="D24"/>
      <c r="E24"/>
      <c r="F24" s="164"/>
      <c r="G24" s="157"/>
      <c r="H24"/>
      <c r="I24" s="158"/>
      <c r="J24"/>
      <c r="K24"/>
      <c r="L24"/>
    </row>
    <row r="25" spans="2:12" s="143" customFormat="1" x14ac:dyDescent="0.25">
      <c r="B25" s="333" t="s">
        <v>183</v>
      </c>
      <c r="C25" s="336">
        <v>4000</v>
      </c>
      <c r="D25"/>
      <c r="E25"/>
      <c r="F25" s="164"/>
      <c r="H25"/>
      <c r="I25" s="25"/>
      <c r="J25" s="7"/>
      <c r="K25" s="14"/>
      <c r="L25"/>
    </row>
    <row r="26" spans="2:12" s="143" customFormat="1" x14ac:dyDescent="0.25">
      <c r="B26" s="332"/>
      <c r="C26" s="336">
        <v>0</v>
      </c>
      <c r="D26"/>
      <c r="E26"/>
      <c r="F26" s="164"/>
      <c r="G26"/>
      <c r="H26"/>
      <c r="I26" s="14"/>
      <c r="J26" s="14"/>
      <c r="K26" s="59"/>
      <c r="L26"/>
    </row>
    <row r="27" spans="2:12" s="143" customFormat="1" x14ac:dyDescent="0.25">
      <c r="B27" s="334"/>
      <c r="C27" s="336">
        <v>0</v>
      </c>
      <c r="D27"/>
      <c r="E27"/>
      <c r="F27" s="164"/>
      <c r="G27" s="148"/>
      <c r="H27" s="148"/>
      <c r="I27" s="196"/>
    </row>
    <row r="28" spans="2:12" s="143" customFormat="1" x14ac:dyDescent="0.25">
      <c r="B28" s="332"/>
      <c r="C28" s="336">
        <v>0</v>
      </c>
      <c r="D28"/>
      <c r="E28"/>
      <c r="F28" s="164"/>
      <c r="G28" s="148"/>
      <c r="H28" s="148"/>
      <c r="I28" s="196"/>
    </row>
    <row r="29" spans="2:12" s="143" customFormat="1" x14ac:dyDescent="0.25">
      <c r="B29" s="333"/>
      <c r="C29" s="336">
        <v>0</v>
      </c>
      <c r="D29" s="93"/>
      <c r="E29" s="93"/>
      <c r="F29" s="164"/>
      <c r="G29" s="148"/>
      <c r="H29" s="148"/>
      <c r="I29" s="196"/>
    </row>
    <row r="30" spans="2:12" s="143" customFormat="1" ht="13.8" thickBot="1" x14ac:dyDescent="0.3">
      <c r="B30" s="16" t="s">
        <v>52</v>
      </c>
      <c r="C30" s="241">
        <f>SUM(C24:C29)</f>
        <v>4600</v>
      </c>
      <c r="D30"/>
      <c r="E30"/>
      <c r="F30" s="164"/>
      <c r="G30" s="148"/>
      <c r="H30" s="148"/>
      <c r="I30" s="196"/>
    </row>
    <row r="31" spans="2:12" x14ac:dyDescent="0.25">
      <c r="B31" s="170" t="s">
        <v>104</v>
      </c>
      <c r="C31" s="235" t="s">
        <v>181</v>
      </c>
    </row>
    <row r="32" spans="2:12" x14ac:dyDescent="0.25">
      <c r="B32" s="332" t="s">
        <v>93</v>
      </c>
      <c r="C32" s="336">
        <v>400</v>
      </c>
    </row>
    <row r="33" spans="2:12" x14ac:dyDescent="0.25">
      <c r="B33" s="333" t="s">
        <v>219</v>
      </c>
      <c r="C33" s="335">
        <v>0</v>
      </c>
    </row>
    <row r="34" spans="2:12" x14ac:dyDescent="0.25">
      <c r="B34" s="332"/>
      <c r="C34" s="336">
        <v>0</v>
      </c>
    </row>
    <row r="35" spans="2:12" x14ac:dyDescent="0.25">
      <c r="B35" s="333"/>
      <c r="C35" s="335">
        <v>0</v>
      </c>
      <c r="I35" s="158"/>
      <c r="J35" s="158"/>
      <c r="K35" s="194"/>
    </row>
    <row r="36" spans="2:12" x14ac:dyDescent="0.25">
      <c r="B36" s="332"/>
      <c r="C36" s="336">
        <v>0</v>
      </c>
      <c r="I36" s="158"/>
      <c r="J36" s="158"/>
    </row>
    <row r="37" spans="2:12" s="93" customFormat="1" x14ac:dyDescent="0.25">
      <c r="B37" s="334"/>
      <c r="C37" s="335">
        <v>0</v>
      </c>
      <c r="D37"/>
      <c r="E37"/>
      <c r="I37" s="158"/>
      <c r="J37" s="158"/>
      <c r="L37" s="158"/>
    </row>
    <row r="38" spans="2:12" ht="13.8" thickBot="1" x14ac:dyDescent="0.3">
      <c r="B38" s="156" t="s">
        <v>52</v>
      </c>
      <c r="C38" s="241">
        <f>SUM(C32:C37)</f>
        <v>400</v>
      </c>
    </row>
    <row r="39" spans="2:12" x14ac:dyDescent="0.25">
      <c r="B39" s="170" t="s">
        <v>12</v>
      </c>
      <c r="C39" s="235" t="s">
        <v>181</v>
      </c>
      <c r="J39" s="158"/>
      <c r="K39" s="158"/>
      <c r="L39" s="195"/>
    </row>
    <row r="40" spans="2:12" x14ac:dyDescent="0.25">
      <c r="B40" s="333" t="s">
        <v>94</v>
      </c>
      <c r="C40" s="335">
        <v>500</v>
      </c>
    </row>
    <row r="41" spans="2:12" x14ac:dyDescent="0.25">
      <c r="B41" s="332" t="s">
        <v>184</v>
      </c>
      <c r="C41" s="336">
        <v>6000</v>
      </c>
    </row>
    <row r="42" spans="2:12" x14ac:dyDescent="0.25">
      <c r="B42" s="333" t="s">
        <v>185</v>
      </c>
      <c r="C42" s="335">
        <v>700</v>
      </c>
    </row>
    <row r="43" spans="2:12" x14ac:dyDescent="0.25">
      <c r="B43" s="332" t="s">
        <v>208</v>
      </c>
      <c r="C43" s="336">
        <v>150</v>
      </c>
    </row>
    <row r="44" spans="2:12" x14ac:dyDescent="0.25">
      <c r="B44" s="332"/>
      <c r="C44" s="336">
        <v>0</v>
      </c>
      <c r="G44" s="50"/>
    </row>
    <row r="45" spans="2:12" x14ac:dyDescent="0.25">
      <c r="B45" s="337"/>
      <c r="C45" s="338">
        <v>0</v>
      </c>
    </row>
    <row r="46" spans="2:12" x14ac:dyDescent="0.25">
      <c r="B46" s="334"/>
      <c r="C46" s="335">
        <v>0</v>
      </c>
    </row>
    <row r="47" spans="2:12" x14ac:dyDescent="0.25">
      <c r="B47" s="339"/>
      <c r="C47" s="336">
        <v>0</v>
      </c>
      <c r="F47" s="14"/>
    </row>
    <row r="48" spans="2:12" ht="13.8" thickBot="1" x14ac:dyDescent="0.3">
      <c r="B48" s="156" t="s">
        <v>52</v>
      </c>
      <c r="C48" s="241">
        <f>SUM(C40:C47)</f>
        <v>7350</v>
      </c>
      <c r="F48" s="14"/>
    </row>
    <row r="49" spans="7:9" x14ac:dyDescent="0.25">
      <c r="G49" s="14"/>
    </row>
    <row r="50" spans="7:9" x14ac:dyDescent="0.25">
      <c r="G50" s="14"/>
    </row>
    <row r="52" spans="7:9" x14ac:dyDescent="0.25">
      <c r="G52" s="14"/>
    </row>
    <row r="53" spans="7:9" x14ac:dyDescent="0.25">
      <c r="G53" s="14"/>
      <c r="H53" s="52"/>
      <c r="I53" s="50"/>
    </row>
    <row r="54" spans="7:9" x14ac:dyDescent="0.25">
      <c r="G54" s="14"/>
    </row>
  </sheetData>
  <sheetProtection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6"/>
  <sheetViews>
    <sheetView zoomScale="90" zoomScaleNormal="90" workbookViewId="0">
      <selection activeCell="E29" sqref="E29"/>
    </sheetView>
  </sheetViews>
  <sheetFormatPr defaultRowHeight="13.2" x14ac:dyDescent="0.25"/>
  <cols>
    <col min="2" max="2" width="17.44140625" customWidth="1"/>
    <col min="3" max="3" width="12.109375" bestFit="1" customWidth="1"/>
    <col min="4" max="4" width="15.44140625" customWidth="1"/>
    <col min="5" max="5" width="15" bestFit="1" customWidth="1"/>
    <col min="8" max="8" width="11.88671875" bestFit="1" customWidth="1"/>
    <col min="9" max="9" width="12.109375" bestFit="1" customWidth="1"/>
    <col min="10" max="10" width="12.88671875" customWidth="1"/>
  </cols>
  <sheetData>
    <row r="1" spans="1:7" x14ac:dyDescent="0.25">
      <c r="B1" s="144" t="s">
        <v>62</v>
      </c>
      <c r="C1" s="221"/>
      <c r="D1" s="221"/>
      <c r="E1" s="221"/>
      <c r="F1" s="221"/>
      <c r="G1" s="221"/>
    </row>
    <row r="2" spans="1:7" s="68" customFormat="1" x14ac:dyDescent="0.25">
      <c r="B2" s="158"/>
      <c r="C2" s="221"/>
      <c r="D2" s="221"/>
      <c r="E2" s="221"/>
      <c r="F2" s="221"/>
      <c r="G2" s="221"/>
    </row>
    <row r="3" spans="1:7" x14ac:dyDescent="0.25">
      <c r="B3" s="160" t="s">
        <v>96</v>
      </c>
      <c r="C3" s="145"/>
      <c r="D3" s="145"/>
      <c r="E3" s="340" t="s">
        <v>199</v>
      </c>
    </row>
    <row r="4" spans="1:7" s="108" customFormat="1" x14ac:dyDescent="0.25">
      <c r="B4" s="147"/>
      <c r="C4" s="148"/>
      <c r="D4" s="148"/>
      <c r="E4" s="85" t="s">
        <v>66</v>
      </c>
    </row>
    <row r="5" spans="1:7" s="108" customFormat="1" x14ac:dyDescent="0.25">
      <c r="A5" s="144" t="s">
        <v>220</v>
      </c>
      <c r="B5" s="166" t="s">
        <v>64</v>
      </c>
      <c r="C5" s="310">
        <v>0</v>
      </c>
      <c r="D5" s="60" t="s">
        <v>65</v>
      </c>
      <c r="E5" s="149">
        <f>C5*365</f>
        <v>0</v>
      </c>
    </row>
    <row r="6" spans="1:7" s="108" customFormat="1" x14ac:dyDescent="0.25">
      <c r="B6" s="147"/>
      <c r="C6" s="148"/>
      <c r="D6" s="148"/>
      <c r="E6" s="149"/>
    </row>
    <row r="7" spans="1:7" s="108" customFormat="1" x14ac:dyDescent="0.25">
      <c r="B7" s="166" t="s">
        <v>63</v>
      </c>
      <c r="C7" s="148"/>
      <c r="D7" s="148"/>
      <c r="E7" s="149"/>
    </row>
    <row r="8" spans="1:7" x14ac:dyDescent="0.25">
      <c r="B8" s="153"/>
      <c r="C8" s="60" t="s">
        <v>186</v>
      </c>
      <c r="D8" s="60"/>
      <c r="E8" s="85"/>
    </row>
    <row r="9" spans="1:7" x14ac:dyDescent="0.25">
      <c r="A9" s="144" t="s">
        <v>221</v>
      </c>
      <c r="B9" s="166" t="s">
        <v>198</v>
      </c>
      <c r="C9" s="342">
        <v>14</v>
      </c>
      <c r="D9" s="155"/>
      <c r="E9" s="149">
        <f>C9*Tuotanto!D6</f>
        <v>2800</v>
      </c>
    </row>
    <row r="10" spans="1:7" x14ac:dyDescent="0.25">
      <c r="B10" s="150"/>
      <c r="C10" s="222"/>
      <c r="D10" s="222"/>
      <c r="E10" s="152"/>
    </row>
    <row r="11" spans="1:7" x14ac:dyDescent="0.25">
      <c r="B11" s="160" t="s">
        <v>187</v>
      </c>
      <c r="C11" s="145"/>
      <c r="D11" s="145"/>
      <c r="E11" s="246"/>
    </row>
    <row r="12" spans="1:7" x14ac:dyDescent="0.25">
      <c r="B12" s="147"/>
      <c r="C12" s="148"/>
      <c r="D12" s="148"/>
      <c r="E12" s="149"/>
    </row>
    <row r="13" spans="1:7" x14ac:dyDescent="0.25">
      <c r="B13" s="166" t="s">
        <v>64</v>
      </c>
      <c r="C13" s="310">
        <v>0</v>
      </c>
      <c r="D13" s="60" t="s">
        <v>65</v>
      </c>
      <c r="E13" s="149">
        <f>C13*365</f>
        <v>0</v>
      </c>
    </row>
    <row r="14" spans="1:7" x14ac:dyDescent="0.25">
      <c r="B14" s="150"/>
      <c r="C14" s="220"/>
      <c r="D14" s="220"/>
      <c r="E14" s="152"/>
    </row>
    <row r="15" spans="1:7" x14ac:dyDescent="0.25">
      <c r="B15" s="341"/>
      <c r="C15" s="145"/>
      <c r="D15" s="145"/>
      <c r="E15" s="146"/>
    </row>
    <row r="16" spans="1:7" x14ac:dyDescent="0.25">
      <c r="B16" s="153" t="s">
        <v>97</v>
      </c>
      <c r="C16" s="148"/>
      <c r="D16" s="148"/>
      <c r="E16" s="86">
        <f>E13+E5+E9</f>
        <v>2800</v>
      </c>
    </row>
    <row r="17" spans="2:7" s="93" customFormat="1" x14ac:dyDescent="0.25">
      <c r="B17" s="166"/>
      <c r="C17" s="148"/>
      <c r="D17" s="148"/>
      <c r="E17" s="86"/>
      <c r="G17" s="161"/>
    </row>
    <row r="18" spans="2:7" s="93" customFormat="1" x14ac:dyDescent="0.25">
      <c r="B18" s="166" t="s">
        <v>100</v>
      </c>
      <c r="C18" s="148"/>
      <c r="D18" s="148"/>
      <c r="E18" s="311">
        <v>300</v>
      </c>
    </row>
    <row r="19" spans="2:7" s="93" customFormat="1" x14ac:dyDescent="0.25">
      <c r="B19" s="166"/>
      <c r="C19" s="148"/>
      <c r="D19" s="148"/>
      <c r="E19" s="86"/>
    </row>
    <row r="20" spans="2:7" s="93" customFormat="1" x14ac:dyDescent="0.25">
      <c r="B20" s="166" t="s">
        <v>101</v>
      </c>
      <c r="C20" s="148"/>
      <c r="D20" s="148"/>
      <c r="E20" s="86">
        <f>E16-E18</f>
        <v>2500</v>
      </c>
    </row>
    <row r="21" spans="2:7" x14ac:dyDescent="0.25">
      <c r="B21" s="150"/>
      <c r="C21" s="222"/>
      <c r="D21" s="222"/>
      <c r="E21" s="152"/>
    </row>
    <row r="22" spans="2:7" x14ac:dyDescent="0.25">
      <c r="B22" s="223" t="s">
        <v>200</v>
      </c>
      <c r="C22" s="145"/>
      <c r="D22" s="3" t="s">
        <v>202</v>
      </c>
      <c r="E22" s="146"/>
    </row>
    <row r="23" spans="2:7" x14ac:dyDescent="0.25">
      <c r="B23" s="343">
        <v>16</v>
      </c>
      <c r="C23" s="148"/>
      <c r="D23" s="96">
        <f>E18*B23</f>
        <v>4800</v>
      </c>
      <c r="E23" s="149"/>
    </row>
    <row r="24" spans="2:7" x14ac:dyDescent="0.25">
      <c r="B24" s="153"/>
      <c r="C24" s="148"/>
      <c r="D24" s="148"/>
      <c r="E24" s="149"/>
    </row>
    <row r="25" spans="2:7" x14ac:dyDescent="0.25">
      <c r="B25" s="166" t="s">
        <v>201</v>
      </c>
      <c r="C25" s="148"/>
      <c r="D25" s="154" t="s">
        <v>202</v>
      </c>
      <c r="E25" s="149"/>
    </row>
    <row r="26" spans="2:7" x14ac:dyDescent="0.25">
      <c r="B26" s="343">
        <v>16</v>
      </c>
      <c r="C26" s="222"/>
      <c r="D26" s="98">
        <f>B26*E20</f>
        <v>40000</v>
      </c>
      <c r="E26" s="152"/>
    </row>
  </sheetData>
  <sheetProtection sheet="1" objects="1" scenarios="1"/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64"/>
  <sheetViews>
    <sheetView zoomScale="70" zoomScaleNormal="70" workbookViewId="0">
      <selection activeCell="H24" sqref="H24"/>
    </sheetView>
  </sheetViews>
  <sheetFormatPr defaultRowHeight="13.2" x14ac:dyDescent="0.25"/>
  <cols>
    <col min="2" max="2" width="39.109375" bestFit="1" customWidth="1"/>
    <col min="3" max="3" width="13.5546875" bestFit="1" customWidth="1"/>
    <col min="4" max="4" width="12.6640625" bestFit="1" customWidth="1"/>
    <col min="5" max="5" width="19" bestFit="1" customWidth="1"/>
    <col min="6" max="6" width="10" customWidth="1"/>
  </cols>
  <sheetData>
    <row r="2" spans="2:6" ht="17.399999999999999" x14ac:dyDescent="0.3">
      <c r="B2" s="247" t="s">
        <v>75</v>
      </c>
      <c r="C2" s="260"/>
      <c r="D2" s="248"/>
      <c r="E2" s="261"/>
    </row>
    <row r="3" spans="2:6" x14ac:dyDescent="0.25">
      <c r="B3" s="255" t="s">
        <v>57</v>
      </c>
      <c r="C3" s="256" t="s">
        <v>66</v>
      </c>
      <c r="D3" s="282" t="s">
        <v>98</v>
      </c>
      <c r="E3" s="257" t="s">
        <v>71</v>
      </c>
      <c r="F3" s="2"/>
    </row>
    <row r="4" spans="2:6" x14ac:dyDescent="0.25">
      <c r="B4" s="250" t="s">
        <v>34</v>
      </c>
      <c r="C4" s="262">
        <f>Myyntituotot!B22+Myyntituotot!B26+Myyntituotot!B30</f>
        <v>75400</v>
      </c>
      <c r="D4" s="283">
        <f>C4/Tuotanto!$D$6</f>
        <v>377</v>
      </c>
      <c r="E4" s="264">
        <f>C4/Yhteenveto!$C$3</f>
        <v>0.57999999999999996</v>
      </c>
    </row>
    <row r="5" spans="2:6" x14ac:dyDescent="0.25">
      <c r="B5" s="250" t="s">
        <v>53</v>
      </c>
      <c r="C5" s="263">
        <f>Myyntituotot!B15+Myyntituotot!E13</f>
        <v>1750</v>
      </c>
      <c r="D5" s="283"/>
      <c r="E5" s="264"/>
    </row>
    <row r="6" spans="2:6" x14ac:dyDescent="0.25">
      <c r="B6" s="250" t="s">
        <v>54</v>
      </c>
      <c r="C6" s="263">
        <f>Myyntituotot!B10+Myyntituotot!E8+Myyntituotot!H8</f>
        <v>1300</v>
      </c>
      <c r="D6" s="283"/>
      <c r="E6" s="264"/>
    </row>
    <row r="7" spans="2:6" x14ac:dyDescent="0.25">
      <c r="B7" s="250" t="s">
        <v>55</v>
      </c>
      <c r="C7" s="262">
        <f>Myyntituotot!E30</f>
        <v>300</v>
      </c>
      <c r="D7" s="283"/>
      <c r="E7" s="264"/>
    </row>
    <row r="8" spans="2:6" x14ac:dyDescent="0.25">
      <c r="B8" s="255" t="s">
        <v>56</v>
      </c>
      <c r="C8" s="256">
        <f>SUM(C4:C7)</f>
        <v>78750</v>
      </c>
      <c r="D8" s="284">
        <f>C8/Tuotanto!$D$6</f>
        <v>393.75</v>
      </c>
      <c r="E8" s="259">
        <f>C8/Yhteenveto!$C$3</f>
        <v>0.60576923076923073</v>
      </c>
    </row>
    <row r="9" spans="2:6" x14ac:dyDescent="0.25">
      <c r="B9" s="249" t="s">
        <v>58</v>
      </c>
      <c r="C9" s="262"/>
      <c r="D9" s="283"/>
      <c r="E9" s="264"/>
    </row>
    <row r="10" spans="2:6" x14ac:dyDescent="0.25">
      <c r="B10" s="250" t="s">
        <v>74</v>
      </c>
      <c r="C10" s="263">
        <f>Tuet!C11</f>
        <v>37801</v>
      </c>
      <c r="D10" s="283"/>
      <c r="E10" s="264"/>
    </row>
    <row r="11" spans="2:6" x14ac:dyDescent="0.25">
      <c r="B11" s="250" t="s">
        <v>11</v>
      </c>
      <c r="C11" s="263">
        <f>Tuet!C12</f>
        <v>410</v>
      </c>
      <c r="D11" s="283"/>
      <c r="E11" s="264"/>
    </row>
    <row r="12" spans="2:6" x14ac:dyDescent="0.25">
      <c r="B12" s="250" t="s">
        <v>85</v>
      </c>
      <c r="C12" s="263">
        <f>Tuet!C13</f>
        <v>3600</v>
      </c>
      <c r="D12" s="283"/>
      <c r="E12" s="264"/>
    </row>
    <row r="13" spans="2:6" x14ac:dyDescent="0.25">
      <c r="B13" s="250" t="s">
        <v>8</v>
      </c>
      <c r="C13" s="263">
        <f>Tuet!C14</f>
        <v>0</v>
      </c>
      <c r="D13" s="283"/>
      <c r="E13" s="264"/>
    </row>
    <row r="14" spans="2:6" x14ac:dyDescent="0.25">
      <c r="B14" s="255" t="s">
        <v>51</v>
      </c>
      <c r="C14" s="258">
        <f>SUM(C10:C13)</f>
        <v>41811</v>
      </c>
      <c r="D14" s="284">
        <f>C14/Tuotanto!$D$6</f>
        <v>209.05500000000001</v>
      </c>
      <c r="E14" s="259">
        <f>C14/Yhteenveto!$C$3</f>
        <v>0.3216230769230769</v>
      </c>
    </row>
    <row r="15" spans="2:6" ht="15.6" x14ac:dyDescent="0.3">
      <c r="B15" s="297" t="s">
        <v>188</v>
      </c>
      <c r="C15" s="298">
        <f>C14+C8</f>
        <v>120561</v>
      </c>
      <c r="D15" s="300">
        <f>C15/Tuotanto!$D$6</f>
        <v>602.80499999999995</v>
      </c>
      <c r="E15" s="299">
        <f>C15/Yhteenveto!$C$3</f>
        <v>0.92739230769230774</v>
      </c>
    </row>
    <row r="16" spans="2:6" s="221" customFormat="1" ht="15.6" x14ac:dyDescent="0.3">
      <c r="B16" s="275"/>
      <c r="C16" s="273"/>
      <c r="D16" s="287"/>
      <c r="E16" s="276"/>
    </row>
    <row r="17" spans="2:7" ht="17.399999999999999" x14ac:dyDescent="0.3">
      <c r="B17" s="274" t="s">
        <v>113</v>
      </c>
      <c r="C17" s="266"/>
      <c r="D17" s="286"/>
      <c r="E17" s="267"/>
    </row>
    <row r="18" spans="2:7" x14ac:dyDescent="0.25">
      <c r="B18" s="255" t="s">
        <v>59</v>
      </c>
      <c r="C18" s="256" t="s">
        <v>66</v>
      </c>
      <c r="D18" s="282" t="s">
        <v>98</v>
      </c>
      <c r="E18" s="257" t="s">
        <v>71</v>
      </c>
    </row>
    <row r="19" spans="2:7" x14ac:dyDescent="0.25">
      <c r="B19" s="250" t="str">
        <f>'Muuttuvat kustannukset'!B5</f>
        <v>Kotoiset rehut</v>
      </c>
      <c r="C19" s="263">
        <f>'Muuttuvat kustannukset'!E12</f>
        <v>8160.0000000000009</v>
      </c>
      <c r="D19" s="283">
        <f>C19/Tuotanto!$D$6</f>
        <v>40.800000000000004</v>
      </c>
      <c r="E19" s="264">
        <f>C19/Yhteenveto!$C$3</f>
        <v>6.2769230769230772E-2</v>
      </c>
    </row>
    <row r="20" spans="2:7" s="93" customFormat="1" x14ac:dyDescent="0.25">
      <c r="B20" s="250" t="str">
        <f>'Muuttuvat kustannukset'!B14</f>
        <v>Ostorehut</v>
      </c>
      <c r="C20" s="263">
        <f>'Muuttuvat kustannukset'!E21</f>
        <v>12005</v>
      </c>
      <c r="D20" s="283">
        <f>C20/Tuotanto!$D$6</f>
        <v>60.024999999999999</v>
      </c>
      <c r="E20" s="264">
        <f>C20/Yhteenveto!$C$3</f>
        <v>9.2346153846153842E-2</v>
      </c>
    </row>
    <row r="21" spans="2:7" x14ac:dyDescent="0.25">
      <c r="B21" s="250" t="str">
        <f>'Muuttuvat kustannukset'!B23</f>
        <v>Aineet ja tarvikkeet</v>
      </c>
      <c r="C21" s="263">
        <f>'Muuttuvat kustannukset'!C30</f>
        <v>4600</v>
      </c>
      <c r="D21" s="283">
        <f>C21/Tuotanto!$D$6</f>
        <v>23</v>
      </c>
      <c r="E21" s="264">
        <f>C21/Yhteenveto!$C$3</f>
        <v>3.5384615384615382E-2</v>
      </c>
    </row>
    <row r="22" spans="2:7" s="93" customFormat="1" x14ac:dyDescent="0.25">
      <c r="B22" s="250" t="str">
        <f>'Muuttuvat kustannukset'!B31</f>
        <v>Ulkopuoliset palvelut</v>
      </c>
      <c r="C22" s="262">
        <f>'Muuttuvat kustannukset'!C38</f>
        <v>400</v>
      </c>
      <c r="D22" s="283">
        <f>C22/Tuotanto!$D$6</f>
        <v>2</v>
      </c>
      <c r="E22" s="264">
        <f>C22/Yhteenveto!$C$3</f>
        <v>3.0769230769230769E-3</v>
      </c>
    </row>
    <row r="23" spans="2:7" s="93" customFormat="1" x14ac:dyDescent="0.25">
      <c r="B23" s="250" t="str">
        <f>'Muuttuvat kustannukset'!B39</f>
        <v>Muut muuttuvat kustannukset</v>
      </c>
      <c r="C23" s="262">
        <f>'Muuttuvat kustannukset'!C48</f>
        <v>7350</v>
      </c>
      <c r="D23" s="283">
        <f>C23/Tuotanto!$D$6</f>
        <v>36.75</v>
      </c>
      <c r="E23" s="264">
        <f>C23/Yhteenveto!$C$3</f>
        <v>5.6538461538461537E-2</v>
      </c>
    </row>
    <row r="24" spans="2:7" x14ac:dyDescent="0.25">
      <c r="B24" s="250" t="s">
        <v>136</v>
      </c>
      <c r="C24" s="263">
        <f>Tuotanto!D21*Tuotanto!D23</f>
        <v>790</v>
      </c>
      <c r="D24" s="283"/>
      <c r="E24" s="264"/>
      <c r="G24" s="161"/>
    </row>
    <row r="25" spans="2:7" x14ac:dyDescent="0.25">
      <c r="B25" s="250" t="s">
        <v>137</v>
      </c>
      <c r="C25" s="263">
        <f>Tuotanto!D22*Tuotanto!D23</f>
        <v>1159.7250000000001</v>
      </c>
      <c r="D25" s="283"/>
      <c r="E25" s="264"/>
    </row>
    <row r="26" spans="2:7" s="130" customFormat="1" ht="15.6" x14ac:dyDescent="0.3">
      <c r="B26" s="269" t="s">
        <v>60</v>
      </c>
      <c r="C26" s="270">
        <f>SUM(C19:C25)</f>
        <v>34464.724999999999</v>
      </c>
      <c r="D26" s="285">
        <f>C26/Tuotanto!$D$6</f>
        <v>172.32362499999999</v>
      </c>
      <c r="E26" s="271">
        <f>C26/Yhteenveto!$C$3</f>
        <v>0.26511326923076922</v>
      </c>
    </row>
    <row r="27" spans="2:7" ht="15.6" x14ac:dyDescent="0.3">
      <c r="B27" s="269"/>
      <c r="C27" s="270"/>
      <c r="D27" s="285"/>
      <c r="E27" s="271"/>
    </row>
    <row r="28" spans="2:7" s="93" customFormat="1" x14ac:dyDescent="0.25">
      <c r="B28" s="255"/>
      <c r="C28" s="293" t="s">
        <v>66</v>
      </c>
      <c r="D28" s="294" t="s">
        <v>98</v>
      </c>
      <c r="E28" s="295" t="s">
        <v>71</v>
      </c>
    </row>
    <row r="29" spans="2:7" ht="15.6" x14ac:dyDescent="0.3">
      <c r="B29" s="275" t="s">
        <v>131</v>
      </c>
      <c r="C29" s="273">
        <f>C15-C26</f>
        <v>86096.274999999994</v>
      </c>
      <c r="D29" s="287">
        <f>D15-D26</f>
        <v>430.48137499999996</v>
      </c>
      <c r="E29" s="276">
        <f>E15-E26</f>
        <v>0.66227903846153846</v>
      </c>
    </row>
    <row r="30" spans="2:7" s="130" customFormat="1" ht="15.6" x14ac:dyDescent="0.3">
      <c r="B30" s="275" t="s">
        <v>132</v>
      </c>
      <c r="C30" s="277">
        <f>C8-C26</f>
        <v>44285.275000000001</v>
      </c>
      <c r="D30" s="288">
        <f>D8-D26</f>
        <v>221.42637500000001</v>
      </c>
      <c r="E30" s="278">
        <f>E8-E26</f>
        <v>0.3406559615384615</v>
      </c>
    </row>
    <row r="31" spans="2:7" s="130" customFormat="1" x14ac:dyDescent="0.25">
      <c r="B31" s="265"/>
      <c r="C31" s="266"/>
      <c r="D31" s="286"/>
      <c r="E31" s="267"/>
    </row>
    <row r="32" spans="2:7" x14ac:dyDescent="0.25">
      <c r="B32" s="292" t="s">
        <v>61</v>
      </c>
      <c r="C32" s="293" t="s">
        <v>66</v>
      </c>
      <c r="D32" s="294" t="s">
        <v>98</v>
      </c>
      <c r="E32" s="295" t="s">
        <v>71</v>
      </c>
    </row>
    <row r="33" spans="2:5" x14ac:dyDescent="0.25">
      <c r="B33" s="251" t="str">
        <f>'Työn menekki'!B18</f>
        <v>Vieras vakituinen työntekijä</v>
      </c>
      <c r="C33" s="252">
        <f>'Työn menekki'!D23</f>
        <v>4800</v>
      </c>
      <c r="D33" s="289"/>
      <c r="E33" s="253"/>
    </row>
    <row r="34" spans="2:5" x14ac:dyDescent="0.25">
      <c r="B34" s="251" t="str">
        <f>'Työn menekki'!B20</f>
        <v>Oma työ</v>
      </c>
      <c r="C34" s="252">
        <f>'Työn menekki'!D26</f>
        <v>40000</v>
      </c>
      <c r="D34" s="289"/>
      <c r="E34" s="253"/>
    </row>
    <row r="35" spans="2:5" x14ac:dyDescent="0.25">
      <c r="B35" s="251" t="s">
        <v>52</v>
      </c>
      <c r="C35" s="252">
        <f>SUM(C33:C34)</f>
        <v>44800</v>
      </c>
      <c r="D35" s="289">
        <f>C35/Tuotanto!$D$6</f>
        <v>224</v>
      </c>
      <c r="E35" s="253">
        <f>C35/Yhteenveto!$C$3</f>
        <v>0.3446153846153846</v>
      </c>
    </row>
    <row r="36" spans="2:5" x14ac:dyDescent="0.25">
      <c r="B36" s="250"/>
      <c r="C36" s="272"/>
      <c r="D36" s="289"/>
      <c r="E36" s="253"/>
    </row>
    <row r="37" spans="2:5" x14ac:dyDescent="0.25">
      <c r="B37" s="296"/>
      <c r="C37" s="293" t="s">
        <v>66</v>
      </c>
      <c r="D37" s="294" t="s">
        <v>98</v>
      </c>
      <c r="E37" s="295" t="s">
        <v>71</v>
      </c>
    </row>
    <row r="38" spans="2:5" ht="15.6" x14ac:dyDescent="0.3">
      <c r="B38" s="279" t="s">
        <v>133</v>
      </c>
      <c r="C38" s="280">
        <f>C29-C35</f>
        <v>41296.274999999994</v>
      </c>
      <c r="D38" s="290">
        <f>C38/Tuotanto!$D$6</f>
        <v>206.48137499999996</v>
      </c>
      <c r="E38" s="281">
        <f>C38/Yhteenveto!$C$3</f>
        <v>0.3176636538461538</v>
      </c>
    </row>
    <row r="39" spans="2:5" ht="15.6" x14ac:dyDescent="0.3">
      <c r="B39" s="279" t="s">
        <v>134</v>
      </c>
      <c r="C39" s="280">
        <f>C30-C35</f>
        <v>-514.72499999999854</v>
      </c>
      <c r="D39" s="290">
        <f>C39/Tuotanto!$D$6</f>
        <v>-2.5736249999999927</v>
      </c>
      <c r="E39" s="281">
        <f>C39/Yhteenveto!$C$3</f>
        <v>-3.9594230769230661E-3</v>
      </c>
    </row>
    <row r="40" spans="2:5" x14ac:dyDescent="0.25">
      <c r="B40" s="265"/>
      <c r="C40" s="266"/>
      <c r="D40" s="291"/>
      <c r="E40" s="254"/>
    </row>
    <row r="41" spans="2:5" x14ac:dyDescent="0.25">
      <c r="C41" s="268"/>
      <c r="D41" s="131"/>
      <c r="E41" s="132"/>
    </row>
    <row r="42" spans="2:5" x14ac:dyDescent="0.25">
      <c r="B42" s="93"/>
      <c r="C42" s="268"/>
      <c r="D42" s="131"/>
      <c r="E42" s="132"/>
    </row>
    <row r="43" spans="2:5" s="93" customFormat="1" x14ac:dyDescent="0.25">
      <c r="B43" s="144"/>
      <c r="C43" s="268"/>
      <c r="D43" s="131"/>
      <c r="E43" s="132"/>
    </row>
    <row r="44" spans="2:5" s="93" customFormat="1" x14ac:dyDescent="0.25">
      <c r="B44" s="158"/>
      <c r="C44" s="268"/>
      <c r="D44" s="131"/>
      <c r="E44" s="132"/>
    </row>
    <row r="45" spans="2:5" x14ac:dyDescent="0.25">
      <c r="B45" s="158"/>
      <c r="C45" s="268"/>
      <c r="D45" s="131"/>
      <c r="E45" s="132"/>
    </row>
    <row r="46" spans="2:5" s="87" customFormat="1" x14ac:dyDescent="0.25">
      <c r="B46" s="158"/>
      <c r="C46" s="116"/>
      <c r="D46" s="138"/>
      <c r="E46" s="135"/>
    </row>
    <row r="47" spans="2:5" x14ac:dyDescent="0.25">
      <c r="B47" s="158"/>
      <c r="C47" s="116"/>
      <c r="D47" s="138"/>
      <c r="E47" s="135"/>
    </row>
    <row r="48" spans="2:5" x14ac:dyDescent="0.25">
      <c r="B48" s="162"/>
      <c r="C48" s="126"/>
      <c r="D48" s="123"/>
      <c r="E48" s="126"/>
    </row>
    <row r="49" spans="2:9" s="88" customFormat="1" x14ac:dyDescent="0.25">
      <c r="B49" s="162"/>
      <c r="C49" s="127"/>
      <c r="D49" s="136"/>
      <c r="E49" s="129"/>
    </row>
    <row r="50" spans="2:9" s="88" customFormat="1" x14ac:dyDescent="0.25">
      <c r="B50" s="162"/>
      <c r="C50" s="127"/>
      <c r="D50" s="128"/>
      <c r="E50" s="129"/>
    </row>
    <row r="51" spans="2:9" s="88" customFormat="1" x14ac:dyDescent="0.25">
      <c r="B51"/>
      <c r="C51"/>
      <c r="D51"/>
      <c r="E51"/>
    </row>
    <row r="55" spans="2:9" x14ac:dyDescent="0.25">
      <c r="B55" s="50"/>
    </row>
    <row r="56" spans="2:9" x14ac:dyDescent="0.25">
      <c r="B56" s="50"/>
      <c r="D56" s="161"/>
    </row>
    <row r="57" spans="2:9" x14ac:dyDescent="0.25">
      <c r="D57" s="161"/>
    </row>
    <row r="58" spans="2:9" x14ac:dyDescent="0.25">
      <c r="D58" s="161"/>
    </row>
    <row r="59" spans="2:9" x14ac:dyDescent="0.25">
      <c r="B59" s="50"/>
      <c r="D59" s="143"/>
    </row>
    <row r="60" spans="2:9" x14ac:dyDescent="0.25">
      <c r="B60" s="50"/>
      <c r="D60" s="161"/>
      <c r="I60" s="58"/>
    </row>
    <row r="61" spans="2:9" x14ac:dyDescent="0.25">
      <c r="B61" s="50"/>
    </row>
    <row r="62" spans="2:9" x14ac:dyDescent="0.25">
      <c r="B62" s="50"/>
      <c r="H62" s="109" t="s">
        <v>127</v>
      </c>
      <c r="I62" s="109"/>
    </row>
    <row r="63" spans="2:9" x14ac:dyDescent="0.25">
      <c r="B63" s="50"/>
      <c r="H63" s="109" t="s">
        <v>123</v>
      </c>
      <c r="I63" s="109"/>
    </row>
    <row r="64" spans="2:9" x14ac:dyDescent="0.25">
      <c r="I64" s="109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40"/>
  <sheetViews>
    <sheetView topLeftCell="B1" zoomScale="80" zoomScaleNormal="80" workbookViewId="0">
      <selection activeCell="D30" sqref="D30"/>
    </sheetView>
  </sheetViews>
  <sheetFormatPr defaultRowHeight="13.2" x14ac:dyDescent="0.25"/>
  <cols>
    <col min="2" max="2" width="37.6640625" customWidth="1"/>
    <col min="3" max="3" width="12.44140625" bestFit="1" customWidth="1"/>
    <col min="6" max="6" width="33" customWidth="1"/>
    <col min="7" max="7" width="16" bestFit="1" customWidth="1"/>
    <col min="8" max="8" width="23.5546875" bestFit="1" customWidth="1"/>
    <col min="9" max="9" width="13" customWidth="1"/>
    <col min="10" max="10" width="16.6640625" customWidth="1"/>
    <col min="12" max="12" width="16" bestFit="1" customWidth="1"/>
    <col min="13" max="13" width="17.33203125" bestFit="1" customWidth="1"/>
    <col min="14" max="14" width="12" bestFit="1" customWidth="1"/>
    <col min="15" max="15" width="14.6640625" bestFit="1" customWidth="1"/>
    <col min="16" max="16" width="11.88671875" bestFit="1" customWidth="1"/>
    <col min="17" max="17" width="21" bestFit="1" customWidth="1"/>
    <col min="21" max="21" width="12.88671875" bestFit="1" customWidth="1"/>
  </cols>
  <sheetData>
    <row r="1" spans="1:21" x14ac:dyDescent="0.25">
      <c r="K1" s="49"/>
    </row>
    <row r="2" spans="1:21" x14ac:dyDescent="0.25">
      <c r="A2" s="7"/>
      <c r="B2" s="380" t="s">
        <v>124</v>
      </c>
      <c r="C2">
        <f>Tuotanto!D6</f>
        <v>200</v>
      </c>
      <c r="D2" s="57"/>
      <c r="E2" s="57"/>
    </row>
    <row r="3" spans="1:21" x14ac:dyDescent="0.25">
      <c r="A3" s="7"/>
      <c r="B3" s="51" t="s">
        <v>33</v>
      </c>
      <c r="C3" s="377">
        <f>Myyntituotot!B20+Myyntituotot!B24+Myyntituotot!B28</f>
        <v>130000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21" x14ac:dyDescent="0.25">
      <c r="A4" s="7"/>
      <c r="B4" s="51" t="s">
        <v>126</v>
      </c>
      <c r="C4" s="373">
        <f>C3/Tuotanto!D6</f>
        <v>650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58"/>
    </row>
    <row r="5" spans="1:21" x14ac:dyDescent="0.25">
      <c r="A5" s="7"/>
      <c r="B5" s="80" t="s">
        <v>214</v>
      </c>
      <c r="C5" s="379">
        <f>(Myyntituotot!B22+Myyntituotot!B26+Myyntituotot!B30)/C3</f>
        <v>0.57999999999999996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58"/>
      <c r="U5" s="101"/>
    </row>
    <row r="6" spans="1:21" x14ac:dyDescent="0.25">
      <c r="A6" s="7"/>
      <c r="B6" s="59" t="s">
        <v>189</v>
      </c>
      <c r="C6" s="374">
        <f>Katelaskenta!D15</f>
        <v>602.80499999999995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58"/>
      <c r="U6" s="101"/>
    </row>
    <row r="7" spans="1:21" x14ac:dyDescent="0.25">
      <c r="A7" s="7"/>
      <c r="B7" s="59" t="s">
        <v>190</v>
      </c>
      <c r="C7" s="374">
        <f>Katelaskenta!D8</f>
        <v>393.75</v>
      </c>
      <c r="E7" s="7"/>
      <c r="F7" s="7"/>
      <c r="G7" s="7"/>
      <c r="H7" s="7"/>
      <c r="I7" s="52"/>
      <c r="J7" s="7"/>
      <c r="K7" s="7"/>
      <c r="L7" s="7"/>
      <c r="M7" s="60"/>
      <c r="N7" s="7"/>
      <c r="O7" s="7"/>
      <c r="P7" s="7"/>
      <c r="Q7" s="7"/>
      <c r="R7" s="7"/>
      <c r="S7" s="7"/>
      <c r="T7" s="58"/>
      <c r="U7" s="101"/>
    </row>
    <row r="8" spans="1:21" x14ac:dyDescent="0.25">
      <c r="A8" s="7"/>
      <c r="B8" s="120" t="s">
        <v>191</v>
      </c>
      <c r="C8" s="375">
        <f>Katelaskenta!D26</f>
        <v>172.32362499999999</v>
      </c>
      <c r="E8" s="7"/>
      <c r="F8" s="7"/>
      <c r="G8" s="7"/>
      <c r="H8" s="7"/>
      <c r="I8" s="52"/>
      <c r="J8" s="7"/>
      <c r="K8" s="7"/>
      <c r="L8" s="7"/>
      <c r="M8" s="60"/>
      <c r="N8" s="7"/>
      <c r="O8" s="7"/>
      <c r="P8" s="7"/>
      <c r="Q8" s="7"/>
      <c r="R8" s="7"/>
      <c r="S8" s="7"/>
    </row>
    <row r="9" spans="1:21" x14ac:dyDescent="0.25">
      <c r="A9" s="7"/>
      <c r="B9" s="120" t="s">
        <v>207</v>
      </c>
      <c r="C9" s="376">
        <f>C8/C6</f>
        <v>0.28586960128067951</v>
      </c>
      <c r="E9" s="7"/>
      <c r="F9" s="7"/>
      <c r="G9" s="7"/>
      <c r="H9" s="7"/>
      <c r="I9" s="60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21" x14ac:dyDescent="0.25">
      <c r="A10" s="7"/>
      <c r="B10" s="120" t="s">
        <v>192</v>
      </c>
      <c r="C10" s="375">
        <f>Katelaskenta!D35</f>
        <v>224</v>
      </c>
      <c r="E10" s="7"/>
      <c r="F10" s="7"/>
      <c r="G10" s="7"/>
      <c r="H10" s="7"/>
      <c r="I10" s="7"/>
      <c r="J10" s="60"/>
      <c r="K10" s="7"/>
      <c r="L10" s="60"/>
      <c r="M10" s="7"/>
      <c r="N10" s="60"/>
      <c r="O10" s="60"/>
      <c r="P10" s="60"/>
      <c r="Q10" s="60"/>
      <c r="R10" s="7"/>
      <c r="S10" s="7"/>
    </row>
    <row r="11" spans="1:21" x14ac:dyDescent="0.25">
      <c r="A11" s="7"/>
      <c r="B11" s="120" t="s">
        <v>211</v>
      </c>
      <c r="C11" s="375">
        <f>Katelaskenta!D29</f>
        <v>430.48137499999996</v>
      </c>
      <c r="E11" s="7"/>
      <c r="F11" s="7"/>
      <c r="G11" s="7"/>
      <c r="H11" s="7"/>
      <c r="I11" s="7"/>
      <c r="J11" s="7"/>
      <c r="K11" s="7"/>
      <c r="L11" s="60"/>
      <c r="M11" s="7"/>
      <c r="N11" s="104"/>
      <c r="O11" s="102"/>
      <c r="P11" s="32"/>
      <c r="Q11" s="32"/>
      <c r="R11" s="7"/>
      <c r="S11" s="7"/>
    </row>
    <row r="12" spans="1:21" x14ac:dyDescent="0.25">
      <c r="A12" s="7"/>
      <c r="B12" s="120" t="s">
        <v>212</v>
      </c>
      <c r="C12" s="378">
        <f>Katelaskenta!D30</f>
        <v>221.42637500000001</v>
      </c>
      <c r="E12" s="7"/>
      <c r="F12" s="7"/>
      <c r="G12" s="7"/>
      <c r="H12" s="7"/>
      <c r="I12" s="7"/>
      <c r="J12" s="7"/>
      <c r="K12" s="7"/>
      <c r="L12" s="7"/>
      <c r="M12" s="7"/>
      <c r="N12" s="52"/>
      <c r="O12" s="7"/>
      <c r="P12" s="34"/>
      <c r="Q12" s="34"/>
      <c r="R12" s="7"/>
      <c r="S12" s="7"/>
    </row>
    <row r="13" spans="1:21" x14ac:dyDescent="0.25">
      <c r="A13" s="7"/>
      <c r="B13" s="120" t="s">
        <v>210</v>
      </c>
      <c r="C13" s="378">
        <f>Katelaskenta!D38</f>
        <v>206.48137499999996</v>
      </c>
      <c r="E13" s="7"/>
      <c r="F13" s="7"/>
      <c r="G13" s="7"/>
      <c r="H13" s="7"/>
      <c r="I13" s="7"/>
      <c r="J13" s="7"/>
      <c r="K13" s="7"/>
      <c r="L13" s="60"/>
      <c r="M13" s="7"/>
      <c r="N13" s="104"/>
      <c r="O13" s="7"/>
      <c r="P13" s="7"/>
      <c r="Q13" s="7"/>
      <c r="R13" s="7"/>
      <c r="S13" s="7"/>
    </row>
    <row r="14" spans="1:21" x14ac:dyDescent="0.25">
      <c r="A14" s="52"/>
      <c r="B14" t="s">
        <v>213</v>
      </c>
      <c r="C14" s="378">
        <f>Katelaskenta!D39</f>
        <v>-2.5736249999999927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21" ht="14.4" x14ac:dyDescent="0.3">
      <c r="A15" s="7"/>
      <c r="E15" s="89"/>
      <c r="F15" s="7"/>
      <c r="G15" s="7"/>
      <c r="H15" s="7"/>
      <c r="I15" s="52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21" ht="14.4" x14ac:dyDescent="0.3">
      <c r="A16" s="7"/>
      <c r="B16" s="120" t="s">
        <v>215</v>
      </c>
      <c r="C16" s="49">
        <f>C3/'Työn menekki'!E16</f>
        <v>46.428571428571431</v>
      </c>
      <c r="E16" s="89"/>
      <c r="F16" s="7"/>
      <c r="G16" s="7"/>
      <c r="H16" s="7"/>
      <c r="I16" s="7"/>
      <c r="J16" s="60"/>
      <c r="K16" s="7"/>
      <c r="L16" s="60"/>
      <c r="M16" s="7"/>
      <c r="N16" s="60"/>
      <c r="O16" s="60"/>
      <c r="P16" s="60"/>
      <c r="Q16" s="60"/>
      <c r="R16" s="7"/>
      <c r="S16" s="7"/>
    </row>
    <row r="17" spans="1:20" ht="14.4" x14ac:dyDescent="0.3">
      <c r="A17" s="7"/>
      <c r="C17" s="381">
        <f>Katelaskenta!E15*C16</f>
        <v>43.057500000000005</v>
      </c>
      <c r="E17" s="89"/>
      <c r="F17" s="7"/>
      <c r="G17" s="7"/>
      <c r="H17" s="7"/>
      <c r="I17" s="7"/>
      <c r="J17" s="7"/>
      <c r="K17" s="105"/>
      <c r="L17" s="60"/>
      <c r="M17" s="7"/>
      <c r="N17" s="104"/>
      <c r="O17" s="34"/>
      <c r="P17" s="32"/>
      <c r="Q17" s="32"/>
      <c r="R17" s="7"/>
      <c r="S17" s="7"/>
    </row>
    <row r="18" spans="1:20" ht="14.4" x14ac:dyDescent="0.3">
      <c r="A18" s="7"/>
      <c r="B18" s="125" t="s">
        <v>114</v>
      </c>
      <c r="C18" s="80"/>
      <c r="E18" s="89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20" x14ac:dyDescent="0.25">
      <c r="A19" s="7"/>
      <c r="B19" s="80"/>
      <c r="C19" s="80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49"/>
    </row>
    <row r="20" spans="1:20" x14ac:dyDescent="0.25">
      <c r="A20" s="7"/>
      <c r="B20" s="80" t="s">
        <v>129</v>
      </c>
      <c r="C20" s="103">
        <f>Katelaskenta!C15</f>
        <v>120561</v>
      </c>
      <c r="E20" s="7"/>
      <c r="F20" s="7"/>
      <c r="G20" s="7"/>
      <c r="H20" s="7"/>
      <c r="I20" s="52"/>
      <c r="J20" s="60"/>
      <c r="K20" s="7"/>
      <c r="L20" s="60"/>
      <c r="M20" s="7"/>
      <c r="N20" s="60"/>
      <c r="O20" s="60"/>
      <c r="P20" s="60"/>
      <c r="Q20" s="60"/>
      <c r="R20" s="7"/>
      <c r="S20" s="7"/>
    </row>
    <row r="21" spans="1:20" x14ac:dyDescent="0.25">
      <c r="A21" s="7"/>
      <c r="B21" s="80" t="s">
        <v>59</v>
      </c>
      <c r="C21" s="103">
        <f>Katelaskenta!C26</f>
        <v>34464.724999999999</v>
      </c>
      <c r="E21" s="7"/>
      <c r="F21" s="7"/>
      <c r="G21" s="7"/>
      <c r="H21" s="7"/>
      <c r="I21" s="7"/>
      <c r="J21" s="34"/>
      <c r="K21" s="117"/>
      <c r="L21" s="34"/>
      <c r="M21" s="106"/>
      <c r="N21" s="107"/>
      <c r="O21" s="32"/>
      <c r="P21" s="34"/>
      <c r="Q21" s="7"/>
      <c r="R21" s="7"/>
      <c r="S21" s="7"/>
    </row>
    <row r="22" spans="1:20" x14ac:dyDescent="0.25">
      <c r="A22" s="7"/>
      <c r="B22" s="80" t="s">
        <v>131</v>
      </c>
      <c r="C22" s="103">
        <f>C20-C21</f>
        <v>86096.274999999994</v>
      </c>
      <c r="E22" s="7"/>
      <c r="F22" s="7"/>
      <c r="G22" s="7"/>
      <c r="H22" s="7"/>
      <c r="I22" s="7"/>
      <c r="J22" s="34"/>
      <c r="K22" s="7"/>
      <c r="L22" s="12"/>
      <c r="M22" s="7"/>
      <c r="N22" s="7"/>
      <c r="O22" s="7"/>
      <c r="P22" s="7"/>
      <c r="Q22" s="7"/>
      <c r="R22" s="7"/>
      <c r="S22" s="7"/>
    </row>
    <row r="23" spans="1:20" x14ac:dyDescent="0.25">
      <c r="A23" s="7"/>
      <c r="B23" s="120" t="s">
        <v>168</v>
      </c>
      <c r="C23" s="101">
        <f>Katelaskenta!C35</f>
        <v>44800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20" x14ac:dyDescent="0.25">
      <c r="A24" s="7"/>
      <c r="B24" s="120" t="s">
        <v>133</v>
      </c>
      <c r="C24" s="101">
        <f>C22-C23</f>
        <v>41296.274999999994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20" x14ac:dyDescent="0.25">
      <c r="A25" s="7"/>
      <c r="B25" s="120"/>
      <c r="C25" s="101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20" x14ac:dyDescent="0.25">
      <c r="A26" s="7"/>
      <c r="B26" s="144" t="s">
        <v>166</v>
      </c>
      <c r="C26" s="101"/>
      <c r="E26" s="7"/>
      <c r="F26" s="7"/>
      <c r="G26" s="7"/>
      <c r="H26" s="7"/>
      <c r="I26" s="52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20" x14ac:dyDescent="0.25">
      <c r="A27" s="7"/>
      <c r="B27" s="158" t="s">
        <v>106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20" x14ac:dyDescent="0.25">
      <c r="A28" s="7"/>
      <c r="B28" s="158" t="s">
        <v>193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20" x14ac:dyDescent="0.25">
      <c r="A29" s="7"/>
      <c r="B29" s="158" t="s">
        <v>111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20" x14ac:dyDescent="0.25">
      <c r="A30" s="7"/>
      <c r="B30" s="158" t="s">
        <v>194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20" x14ac:dyDescent="0.25">
      <c r="A31" s="7"/>
      <c r="B31" s="162" t="s">
        <v>195</v>
      </c>
      <c r="E31" s="7"/>
      <c r="F31" s="7"/>
      <c r="G31" s="7"/>
      <c r="H31" s="7"/>
      <c r="I31" s="7"/>
      <c r="J31" s="102"/>
      <c r="K31" s="7"/>
      <c r="L31" s="7"/>
      <c r="M31" s="121"/>
      <c r="N31" s="124"/>
      <c r="O31" s="7"/>
      <c r="P31" s="7"/>
      <c r="Q31" s="7"/>
      <c r="R31" s="7"/>
      <c r="S31" s="7"/>
    </row>
    <row r="32" spans="1:20" x14ac:dyDescent="0.25">
      <c r="A32" s="7"/>
      <c r="B32" s="162" t="s">
        <v>196</v>
      </c>
      <c r="E32" s="7"/>
      <c r="F32" s="7"/>
      <c r="G32" s="7"/>
      <c r="H32" s="7"/>
      <c r="I32" s="7"/>
      <c r="J32" s="32"/>
      <c r="K32" s="7"/>
      <c r="L32" s="7"/>
      <c r="M32" s="7"/>
      <c r="N32" s="7"/>
      <c r="O32" s="7"/>
      <c r="P32" s="7"/>
      <c r="Q32" s="7"/>
      <c r="R32" s="7"/>
      <c r="S32" s="7"/>
    </row>
    <row r="33" spans="1:19" x14ac:dyDescent="0.25">
      <c r="A33" s="7"/>
      <c r="B33" s="162" t="s">
        <v>197</v>
      </c>
      <c r="C33" s="123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 x14ac:dyDescent="0.25">
      <c r="A34" s="7"/>
      <c r="E34" s="7"/>
      <c r="F34" s="7"/>
      <c r="G34" s="7"/>
      <c r="H34" s="7"/>
      <c r="I34" s="7"/>
      <c r="J34" s="7"/>
      <c r="K34" s="7"/>
      <c r="L34" s="60"/>
      <c r="M34" s="7"/>
      <c r="N34" s="7"/>
      <c r="O34" s="7"/>
      <c r="P34" s="7"/>
      <c r="Q34" s="7"/>
      <c r="R34" s="7"/>
      <c r="S34" s="7"/>
    </row>
    <row r="35" spans="1:19" x14ac:dyDescent="0.25">
      <c r="A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x14ac:dyDescent="0.25">
      <c r="A36" s="7"/>
      <c r="E36" s="7"/>
      <c r="F36" s="7"/>
      <c r="G36" s="7"/>
      <c r="H36" s="7"/>
      <c r="L36" s="108"/>
      <c r="M36" s="108"/>
      <c r="N36" s="108"/>
      <c r="O36" s="108"/>
      <c r="P36" s="108"/>
      <c r="Q36" s="108"/>
    </row>
    <row r="37" spans="1:19" x14ac:dyDescent="0.25">
      <c r="A37" s="7"/>
      <c r="E37" s="7"/>
      <c r="F37" s="7"/>
      <c r="G37" s="7"/>
      <c r="H37" s="7"/>
      <c r="L37" s="108"/>
      <c r="M37" s="108"/>
      <c r="N37" s="108"/>
      <c r="O37" s="108"/>
      <c r="P37" s="108"/>
      <c r="Q37" s="108"/>
    </row>
    <row r="38" spans="1:19" x14ac:dyDescent="0.25">
      <c r="E38" s="7"/>
      <c r="F38" s="7"/>
      <c r="G38" s="7"/>
      <c r="H38" s="7"/>
      <c r="N38" s="48"/>
    </row>
    <row r="39" spans="1:19" x14ac:dyDescent="0.25">
      <c r="E39" s="7"/>
      <c r="F39" s="7"/>
      <c r="G39" s="7"/>
      <c r="H39" s="7"/>
    </row>
    <row r="40" spans="1:19" x14ac:dyDescent="0.25">
      <c r="E40" s="7"/>
      <c r="F40" s="7"/>
      <c r="G40" s="7"/>
      <c r="H40" s="7"/>
    </row>
  </sheetData>
  <sheetProtection sheet="1" objects="1" scenarios="1"/>
  <pageMargins left="0.7" right="0.7" top="0.75" bottom="0.75" header="0.3" footer="0.3"/>
  <pageSetup paperSize="9" scale="5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63"/>
  <sheetViews>
    <sheetView zoomScale="69" zoomScaleNormal="69" workbookViewId="0">
      <selection activeCell="I11" sqref="I11"/>
    </sheetView>
  </sheetViews>
  <sheetFormatPr defaultRowHeight="13.2" x14ac:dyDescent="0.25"/>
  <cols>
    <col min="2" max="2" width="25.109375" customWidth="1"/>
    <col min="3" max="3" width="14.88671875" bestFit="1" customWidth="1"/>
    <col min="4" max="4" width="18.6640625" bestFit="1" customWidth="1"/>
    <col min="5" max="5" width="13.88671875" bestFit="1" customWidth="1"/>
    <col min="6" max="6" width="28.6640625" customWidth="1"/>
    <col min="7" max="7" width="22.88671875" bestFit="1" customWidth="1"/>
    <col min="8" max="8" width="20.44140625" bestFit="1" customWidth="1"/>
    <col min="9" max="9" width="17.88671875" bestFit="1" customWidth="1"/>
    <col min="10" max="10" width="15.6640625" bestFit="1" customWidth="1"/>
    <col min="11" max="11" width="14.5546875" style="93" bestFit="1" customWidth="1"/>
    <col min="12" max="12" width="9.88671875" style="93" bestFit="1" customWidth="1"/>
    <col min="13" max="14" width="15.88671875" bestFit="1" customWidth="1"/>
    <col min="15" max="15" width="11.33203125" bestFit="1" customWidth="1"/>
    <col min="16" max="16" width="16.33203125" customWidth="1"/>
    <col min="17" max="17" width="14.6640625" customWidth="1"/>
    <col min="18" max="18" width="26.44140625" customWidth="1"/>
    <col min="19" max="19" width="19.88671875" customWidth="1"/>
    <col min="20" max="20" width="12.88671875" bestFit="1" customWidth="1"/>
  </cols>
  <sheetData>
    <row r="1" spans="1:20" ht="13.8" thickBot="1" x14ac:dyDescent="0.3"/>
    <row r="2" spans="1:20" x14ac:dyDescent="0.25">
      <c r="B2" s="170" t="s">
        <v>223</v>
      </c>
      <c r="C2" s="167"/>
      <c r="D2" s="170" t="s">
        <v>224</v>
      </c>
      <c r="E2" s="167"/>
      <c r="F2" s="170"/>
      <c r="G2" s="167"/>
      <c r="J2" s="93"/>
      <c r="K2"/>
      <c r="L2" s="158"/>
    </row>
    <row r="3" spans="1:20" x14ac:dyDescent="0.25">
      <c r="B3" s="165"/>
      <c r="C3" s="168"/>
      <c r="D3" s="165"/>
      <c r="E3" s="168"/>
      <c r="F3" s="165"/>
      <c r="G3" s="168"/>
      <c r="J3" s="93"/>
      <c r="K3"/>
      <c r="L3"/>
    </row>
    <row r="4" spans="1:20" x14ac:dyDescent="0.25">
      <c r="B4" s="176" t="s">
        <v>68</v>
      </c>
      <c r="C4" s="370">
        <f>I17</f>
        <v>100800</v>
      </c>
      <c r="D4" s="176" t="s">
        <v>68</v>
      </c>
      <c r="E4" s="370">
        <f>I26</f>
        <v>171250</v>
      </c>
      <c r="F4" s="176" t="s">
        <v>173</v>
      </c>
      <c r="G4" s="114">
        <f>D30</f>
        <v>2400</v>
      </c>
      <c r="J4" s="93"/>
      <c r="K4"/>
      <c r="L4" s="158"/>
    </row>
    <row r="5" spans="1:20" x14ac:dyDescent="0.25">
      <c r="B5" s="176" t="s">
        <v>67</v>
      </c>
      <c r="C5" s="114">
        <f>L17</f>
        <v>3200</v>
      </c>
      <c r="D5" s="176" t="s">
        <v>67</v>
      </c>
      <c r="E5" s="114">
        <f>L26</f>
        <v>11250</v>
      </c>
      <c r="F5" s="176" t="s">
        <v>174</v>
      </c>
      <c r="G5" s="114">
        <f>D33</f>
        <v>11000</v>
      </c>
      <c r="J5" s="93"/>
      <c r="K5"/>
      <c r="L5"/>
    </row>
    <row r="6" spans="1:20" s="93" customFormat="1" x14ac:dyDescent="0.25">
      <c r="B6" s="176" t="s">
        <v>111</v>
      </c>
      <c r="C6" s="114">
        <f>N17</f>
        <v>2400</v>
      </c>
      <c r="D6" s="176" t="s">
        <v>111</v>
      </c>
      <c r="E6" s="114">
        <f>N26</f>
        <v>1250</v>
      </c>
      <c r="F6" s="176"/>
      <c r="G6" s="114"/>
      <c r="L6" s="158"/>
    </row>
    <row r="7" spans="1:20" s="93" customFormat="1" x14ac:dyDescent="0.25">
      <c r="B7" s="176" t="s">
        <v>110</v>
      </c>
      <c r="C7" s="114">
        <f>E17</f>
        <v>0</v>
      </c>
      <c r="D7" s="176" t="s">
        <v>110</v>
      </c>
      <c r="E7" s="114">
        <f>E26</f>
        <v>0</v>
      </c>
      <c r="F7" s="176" t="s">
        <v>106</v>
      </c>
      <c r="G7" s="114">
        <f>C47</f>
        <v>9400</v>
      </c>
    </row>
    <row r="8" spans="1:20" ht="13.8" thickBot="1" x14ac:dyDescent="0.3">
      <c r="B8" s="156" t="s">
        <v>226</v>
      </c>
      <c r="C8" s="115">
        <f>SUM(C5:C7)</f>
        <v>5600</v>
      </c>
      <c r="D8" s="156" t="s">
        <v>226</v>
      </c>
      <c r="E8" s="115">
        <f>SUM(E5:E7)</f>
        <v>12500</v>
      </c>
      <c r="F8" s="156"/>
      <c r="G8" s="219"/>
      <c r="J8" s="93"/>
      <c r="K8" s="50"/>
      <c r="L8" s="158"/>
    </row>
    <row r="9" spans="1:20" s="134" customFormat="1" ht="13.8" thickBot="1" x14ac:dyDescent="0.3">
      <c r="B9" s="13"/>
      <c r="C9" s="137"/>
      <c r="D9" s="13"/>
      <c r="E9" s="137"/>
      <c r="F9" s="13"/>
      <c r="G9" s="96"/>
      <c r="K9" s="158"/>
      <c r="M9" s="50"/>
    </row>
    <row r="10" spans="1:20" s="134" customFormat="1" x14ac:dyDescent="0.25">
      <c r="A10" s="158"/>
      <c r="B10" s="170"/>
      <c r="C10" s="175"/>
      <c r="D10" s="175" t="s">
        <v>117</v>
      </c>
      <c r="E10" s="175"/>
      <c r="F10" s="175"/>
      <c r="G10" s="175" t="s">
        <v>121</v>
      </c>
      <c r="H10" s="235" t="s">
        <v>120</v>
      </c>
      <c r="I10" s="389"/>
      <c r="J10" s="389" t="s">
        <v>109</v>
      </c>
      <c r="K10" s="389"/>
      <c r="L10" s="389"/>
      <c r="M10" s="389" t="s">
        <v>108</v>
      </c>
      <c r="N10" s="389"/>
      <c r="O10" s="344"/>
      <c r="P10" s="344"/>
      <c r="Q10" s="344"/>
      <c r="R10" s="344"/>
      <c r="S10" s="344"/>
      <c r="T10" s="344"/>
    </row>
    <row r="11" spans="1:20" s="134" customFormat="1" ht="15.6" x14ac:dyDescent="0.3">
      <c r="B11" s="301" t="s">
        <v>223</v>
      </c>
      <c r="C11" s="345" t="s">
        <v>115</v>
      </c>
      <c r="D11" s="346" t="s">
        <v>118</v>
      </c>
      <c r="E11" s="345" t="s">
        <v>110</v>
      </c>
      <c r="F11" s="345" t="s">
        <v>69</v>
      </c>
      <c r="G11" s="345" t="s">
        <v>122</v>
      </c>
      <c r="H11" s="347" t="s">
        <v>119</v>
      </c>
      <c r="I11" s="389" t="s">
        <v>68</v>
      </c>
      <c r="J11" s="389" t="s">
        <v>70</v>
      </c>
      <c r="K11" s="389" t="s">
        <v>116</v>
      </c>
      <c r="L11" s="389" t="s">
        <v>67</v>
      </c>
      <c r="M11" s="389" t="s">
        <v>70</v>
      </c>
      <c r="N11" s="389" t="s">
        <v>111</v>
      </c>
      <c r="O11" s="344"/>
      <c r="P11" s="344"/>
      <c r="Q11" s="344"/>
      <c r="R11" s="344"/>
      <c r="S11" s="344"/>
      <c r="T11" s="344"/>
    </row>
    <row r="12" spans="1:20" s="134" customFormat="1" ht="14.4" x14ac:dyDescent="0.3">
      <c r="B12" s="350" t="s">
        <v>209</v>
      </c>
      <c r="C12" s="351" t="s">
        <v>222</v>
      </c>
      <c r="D12" s="352">
        <v>0.5</v>
      </c>
      <c r="E12" s="353">
        <v>0</v>
      </c>
      <c r="F12" s="354">
        <v>2013</v>
      </c>
      <c r="G12" s="354">
        <v>15</v>
      </c>
      <c r="H12" s="384">
        <v>120000</v>
      </c>
      <c r="I12" s="390">
        <f>H12-(L12*(Tuotanto!$D$4-F12))</f>
        <v>100800</v>
      </c>
      <c r="J12" s="391">
        <v>0.2</v>
      </c>
      <c r="K12" s="390">
        <f>H12*J12</f>
        <v>24000</v>
      </c>
      <c r="L12" s="390">
        <f>(H12-K12)/G12*D12</f>
        <v>3200</v>
      </c>
      <c r="M12" s="392">
        <v>0.02</v>
      </c>
      <c r="N12" s="390">
        <f>H12*M12</f>
        <v>2400</v>
      </c>
      <c r="O12" s="344"/>
      <c r="P12" s="344"/>
      <c r="Q12" s="344"/>
      <c r="R12" s="344"/>
      <c r="S12" s="344"/>
      <c r="T12" s="344"/>
    </row>
    <row r="13" spans="1:20" s="134" customFormat="1" ht="14.4" x14ac:dyDescent="0.3">
      <c r="B13" s="371"/>
      <c r="C13" s="372"/>
      <c r="D13" s="356">
        <v>1</v>
      </c>
      <c r="E13" s="355">
        <v>0</v>
      </c>
      <c r="F13" s="357">
        <v>0</v>
      </c>
      <c r="G13" s="357">
        <v>1</v>
      </c>
      <c r="H13" s="385"/>
      <c r="I13" s="390">
        <f>H13-(L13*(Tuotanto!$D$4-F13))</f>
        <v>0</v>
      </c>
      <c r="J13" s="391">
        <v>0.2</v>
      </c>
      <c r="K13" s="393">
        <f>H13*J13</f>
        <v>0</v>
      </c>
      <c r="L13" s="393">
        <f>(H13-K13)/G13</f>
        <v>0</v>
      </c>
      <c r="M13" s="392">
        <v>0.02</v>
      </c>
      <c r="N13" s="390">
        <f>H13*M13</f>
        <v>0</v>
      </c>
      <c r="O13" s="344"/>
      <c r="P13" s="344"/>
      <c r="Q13" s="344"/>
      <c r="R13" s="344"/>
      <c r="S13" s="344"/>
      <c r="T13" s="344"/>
    </row>
    <row r="14" spans="1:20" s="134" customFormat="1" ht="14.4" x14ac:dyDescent="0.3">
      <c r="B14" s="358"/>
      <c r="C14" s="359"/>
      <c r="D14" s="352">
        <v>1</v>
      </c>
      <c r="E14" s="359">
        <v>0</v>
      </c>
      <c r="F14" s="360">
        <v>0</v>
      </c>
      <c r="G14" s="360">
        <v>1</v>
      </c>
      <c r="H14" s="386"/>
      <c r="I14" s="390">
        <f>H14-(L14*(Tuotanto!$D$4-F14))</f>
        <v>0</v>
      </c>
      <c r="J14" s="391">
        <v>0.2</v>
      </c>
      <c r="K14" s="393">
        <f>H14*J14</f>
        <v>0</v>
      </c>
      <c r="L14" s="393">
        <f>(H14-K14)/G14</f>
        <v>0</v>
      </c>
      <c r="M14" s="392">
        <v>0.02</v>
      </c>
      <c r="N14" s="390">
        <f>H14*M14</f>
        <v>0</v>
      </c>
      <c r="O14" s="344"/>
      <c r="P14" s="344"/>
      <c r="Q14" s="344"/>
      <c r="R14" s="344"/>
      <c r="S14" s="344"/>
      <c r="T14" s="344"/>
    </row>
    <row r="15" spans="1:20" s="134" customFormat="1" ht="14.4" x14ac:dyDescent="0.3">
      <c r="B15" s="350"/>
      <c r="C15" s="359"/>
      <c r="D15" s="352">
        <v>1</v>
      </c>
      <c r="E15" s="359">
        <v>0</v>
      </c>
      <c r="F15" s="360">
        <v>0</v>
      </c>
      <c r="G15" s="360">
        <v>1</v>
      </c>
      <c r="H15" s="386"/>
      <c r="I15" s="390">
        <f>H15-(L15*(Tuotanto!$D$4-F15))</f>
        <v>0</v>
      </c>
      <c r="J15" s="391">
        <v>0.2</v>
      </c>
      <c r="K15" s="393">
        <f>H15*J15</f>
        <v>0</v>
      </c>
      <c r="L15" s="394">
        <f>(H15-K15)/G15</f>
        <v>0</v>
      </c>
      <c r="M15" s="392">
        <v>0.02</v>
      </c>
      <c r="N15" s="390">
        <f>H15*M15</f>
        <v>0</v>
      </c>
      <c r="O15" s="344"/>
      <c r="P15" s="344"/>
      <c r="Q15" s="344"/>
      <c r="R15" s="344"/>
      <c r="S15" s="344"/>
      <c r="T15" s="344"/>
    </row>
    <row r="16" spans="1:20" ht="14.4" x14ac:dyDescent="0.3">
      <c r="B16" s="361"/>
      <c r="C16" s="362"/>
      <c r="D16" s="363">
        <v>1</v>
      </c>
      <c r="E16" s="362">
        <v>0</v>
      </c>
      <c r="F16" s="364">
        <v>0</v>
      </c>
      <c r="G16" s="364">
        <v>1</v>
      </c>
      <c r="H16" s="387"/>
      <c r="I16" s="390">
        <f>H16-(L16*(Tuotanto!$D$4-F16))</f>
        <v>0</v>
      </c>
      <c r="J16" s="391">
        <v>0.2</v>
      </c>
      <c r="K16" s="393">
        <f>H16*J16</f>
        <v>0</v>
      </c>
      <c r="L16" s="393">
        <f>(H16-K16)/G16</f>
        <v>0</v>
      </c>
      <c r="M16" s="392">
        <v>0.02</v>
      </c>
      <c r="N16" s="390">
        <f>H16*M16</f>
        <v>0</v>
      </c>
      <c r="O16" s="344"/>
      <c r="P16" s="344"/>
      <c r="Q16" s="344"/>
      <c r="R16" s="344"/>
      <c r="S16" s="344"/>
      <c r="T16" s="344"/>
    </row>
    <row r="17" spans="2:20" ht="13.8" thickBot="1" x14ac:dyDescent="0.3">
      <c r="B17" s="156" t="s">
        <v>52</v>
      </c>
      <c r="C17" s="322"/>
      <c r="D17" s="322"/>
      <c r="E17" s="348">
        <f>SUM(E12:E16)</f>
        <v>0</v>
      </c>
      <c r="F17" s="322"/>
      <c r="G17" s="348"/>
      <c r="H17" s="388"/>
      <c r="I17" s="395">
        <f>SUM(I12:I16)</f>
        <v>100800</v>
      </c>
      <c r="J17" s="389"/>
      <c r="K17" s="389"/>
      <c r="L17" s="395">
        <f>SUM(L12:L16)</f>
        <v>3200</v>
      </c>
      <c r="M17" s="395"/>
      <c r="N17" s="395">
        <f>SUM(N12:N16)</f>
        <v>2400</v>
      </c>
      <c r="O17" s="344"/>
      <c r="P17" s="344"/>
      <c r="Q17" s="344"/>
      <c r="R17" s="344"/>
      <c r="S17" s="344"/>
      <c r="T17" s="344"/>
    </row>
    <row r="18" spans="2:20" s="221" customFormat="1" ht="13.8" thickBot="1" x14ac:dyDescent="0.3">
      <c r="B18" s="154"/>
      <c r="C18" s="349"/>
      <c r="D18" s="349"/>
      <c r="E18" s="382"/>
      <c r="F18" s="349"/>
      <c r="G18" s="382"/>
      <c r="H18" s="349"/>
      <c r="I18" s="395"/>
      <c r="J18" s="389"/>
      <c r="K18" s="389"/>
      <c r="L18" s="395"/>
      <c r="M18" s="395"/>
      <c r="N18" s="395"/>
      <c r="O18" s="344"/>
      <c r="P18" s="344"/>
      <c r="Q18" s="344"/>
      <c r="R18" s="344"/>
      <c r="S18" s="344"/>
      <c r="T18" s="344"/>
    </row>
    <row r="19" spans="2:20" s="221" customFormat="1" x14ac:dyDescent="0.25">
      <c r="B19" s="170"/>
      <c r="C19" s="175"/>
      <c r="D19" s="175" t="s">
        <v>117</v>
      </c>
      <c r="E19" s="175"/>
      <c r="F19" s="175"/>
      <c r="G19" s="175" t="s">
        <v>121</v>
      </c>
      <c r="H19" s="235" t="s">
        <v>120</v>
      </c>
      <c r="I19" s="389"/>
      <c r="J19" s="389" t="s">
        <v>109</v>
      </c>
      <c r="K19" s="389"/>
      <c r="L19" s="389"/>
      <c r="M19" s="389" t="s">
        <v>108</v>
      </c>
      <c r="N19" s="389"/>
      <c r="O19" s="344"/>
      <c r="P19" s="344"/>
      <c r="Q19" s="344"/>
      <c r="R19" s="344"/>
      <c r="S19" s="344"/>
      <c r="T19" s="344"/>
    </row>
    <row r="20" spans="2:20" s="221" customFormat="1" ht="15.6" x14ac:dyDescent="0.3">
      <c r="B20" s="301" t="s">
        <v>224</v>
      </c>
      <c r="C20" s="345" t="s">
        <v>115</v>
      </c>
      <c r="D20" s="346" t="s">
        <v>118</v>
      </c>
      <c r="E20" s="345" t="s">
        <v>110</v>
      </c>
      <c r="F20" s="345" t="s">
        <v>69</v>
      </c>
      <c r="G20" s="345" t="s">
        <v>122</v>
      </c>
      <c r="H20" s="347" t="s">
        <v>119</v>
      </c>
      <c r="I20" s="389" t="s">
        <v>68</v>
      </c>
      <c r="J20" s="389" t="s">
        <v>70</v>
      </c>
      <c r="K20" s="389" t="s">
        <v>116</v>
      </c>
      <c r="L20" s="389" t="s">
        <v>67</v>
      </c>
      <c r="M20" s="389" t="s">
        <v>70</v>
      </c>
      <c r="N20" s="389" t="s">
        <v>111</v>
      </c>
      <c r="O20" s="344"/>
      <c r="P20" s="344"/>
      <c r="Q20" s="344"/>
      <c r="R20" s="344"/>
      <c r="S20" s="344"/>
      <c r="T20" s="344"/>
    </row>
    <row r="21" spans="2:20" s="221" customFormat="1" ht="14.4" x14ac:dyDescent="0.3">
      <c r="B21" s="350" t="s">
        <v>164</v>
      </c>
      <c r="C21" s="351" t="s">
        <v>225</v>
      </c>
      <c r="D21" s="352">
        <v>1</v>
      </c>
      <c r="E21" s="353">
        <v>0</v>
      </c>
      <c r="F21" s="354">
        <v>2012</v>
      </c>
      <c r="G21" s="354">
        <v>20</v>
      </c>
      <c r="H21" s="384">
        <v>250000</v>
      </c>
      <c r="I21" s="390">
        <f>H21-(L21*(Tuotanto!$D$4-F21))</f>
        <v>171250</v>
      </c>
      <c r="J21" s="391">
        <v>0.1</v>
      </c>
      <c r="K21" s="390">
        <f>H21*J21</f>
        <v>25000</v>
      </c>
      <c r="L21" s="390">
        <f>(H21-K21)/G21*D21</f>
        <v>11250</v>
      </c>
      <c r="M21" s="392">
        <v>5.0000000000000001E-3</v>
      </c>
      <c r="N21" s="390">
        <f>H21*M21</f>
        <v>1250</v>
      </c>
      <c r="O21" s="344"/>
      <c r="P21" s="344"/>
      <c r="Q21" s="344"/>
      <c r="R21" s="344"/>
      <c r="S21" s="344"/>
      <c r="T21" s="344"/>
    </row>
    <row r="22" spans="2:20" s="221" customFormat="1" ht="14.4" x14ac:dyDescent="0.3">
      <c r="B22" s="371"/>
      <c r="C22" s="372"/>
      <c r="D22" s="356">
        <v>1</v>
      </c>
      <c r="E22" s="355">
        <v>0</v>
      </c>
      <c r="F22" s="357">
        <v>0</v>
      </c>
      <c r="G22" s="357">
        <v>1</v>
      </c>
      <c r="H22" s="385"/>
      <c r="I22" s="390">
        <f>H22-(L22*(Tuotanto!$D$4-F22))</f>
        <v>0</v>
      </c>
      <c r="J22" s="391">
        <v>0.1</v>
      </c>
      <c r="K22" s="393">
        <f>H22*J22</f>
        <v>0</v>
      </c>
      <c r="L22" s="393">
        <f>(H22-K22)/G22</f>
        <v>0</v>
      </c>
      <c r="M22" s="392">
        <v>5.0000000000000001E-3</v>
      </c>
      <c r="N22" s="390">
        <f>H22*M22</f>
        <v>0</v>
      </c>
      <c r="O22" s="344"/>
      <c r="P22" s="344"/>
      <c r="Q22" s="344"/>
      <c r="R22" s="344"/>
      <c r="S22" s="344"/>
      <c r="T22" s="344"/>
    </row>
    <row r="23" spans="2:20" s="221" customFormat="1" ht="14.4" x14ac:dyDescent="0.3">
      <c r="B23" s="358"/>
      <c r="C23" s="359"/>
      <c r="D23" s="352">
        <v>1</v>
      </c>
      <c r="E23" s="359">
        <v>0</v>
      </c>
      <c r="F23" s="360">
        <v>0</v>
      </c>
      <c r="G23" s="360">
        <v>1</v>
      </c>
      <c r="H23" s="386"/>
      <c r="I23" s="390">
        <f>H23-(L23*(Tuotanto!$D$4-F23))</f>
        <v>0</v>
      </c>
      <c r="J23" s="391">
        <v>0.1</v>
      </c>
      <c r="K23" s="393">
        <f>H23*J23</f>
        <v>0</v>
      </c>
      <c r="L23" s="393">
        <f>(H23-K23)/G23</f>
        <v>0</v>
      </c>
      <c r="M23" s="392">
        <v>5.0000000000000001E-3</v>
      </c>
      <c r="N23" s="390">
        <f>H23*M23</f>
        <v>0</v>
      </c>
      <c r="O23" s="344"/>
      <c r="P23" s="344"/>
      <c r="Q23" s="344"/>
      <c r="R23" s="344"/>
      <c r="S23" s="344"/>
      <c r="T23" s="344"/>
    </row>
    <row r="24" spans="2:20" s="221" customFormat="1" ht="14.4" x14ac:dyDescent="0.3">
      <c r="B24" s="350"/>
      <c r="C24" s="359"/>
      <c r="D24" s="352">
        <v>1</v>
      </c>
      <c r="E24" s="359">
        <v>0</v>
      </c>
      <c r="F24" s="360">
        <v>0</v>
      </c>
      <c r="G24" s="360">
        <v>1</v>
      </c>
      <c r="H24" s="386"/>
      <c r="I24" s="390">
        <f>H24-(L24*(Tuotanto!$D$4-F24))</f>
        <v>0</v>
      </c>
      <c r="J24" s="391">
        <v>0.1</v>
      </c>
      <c r="K24" s="393">
        <f>H24*J24</f>
        <v>0</v>
      </c>
      <c r="L24" s="394">
        <f>(H24-K24)/G24</f>
        <v>0</v>
      </c>
      <c r="M24" s="392">
        <v>5.0000000000000001E-3</v>
      </c>
      <c r="N24" s="390">
        <f>H24*M24</f>
        <v>0</v>
      </c>
      <c r="O24" s="344"/>
      <c r="P24" s="344"/>
      <c r="Q24" s="344"/>
      <c r="R24" s="344"/>
      <c r="S24" s="344"/>
      <c r="T24" s="344"/>
    </row>
    <row r="25" spans="2:20" s="221" customFormat="1" ht="14.4" x14ac:dyDescent="0.3">
      <c r="B25" s="361"/>
      <c r="C25" s="362"/>
      <c r="D25" s="363">
        <v>1</v>
      </c>
      <c r="E25" s="362">
        <v>0</v>
      </c>
      <c r="F25" s="364">
        <v>0</v>
      </c>
      <c r="G25" s="364">
        <v>1</v>
      </c>
      <c r="H25" s="387"/>
      <c r="I25" s="390">
        <f>H25-(L25*(Tuotanto!$D$4-F25))</f>
        <v>0</v>
      </c>
      <c r="J25" s="391">
        <v>0.1</v>
      </c>
      <c r="K25" s="393">
        <f>H25*J25</f>
        <v>0</v>
      </c>
      <c r="L25" s="393">
        <f>(H25-K25)/G25</f>
        <v>0</v>
      </c>
      <c r="M25" s="392">
        <v>5.0000000000000001E-3</v>
      </c>
      <c r="N25" s="390">
        <f>H25*M25</f>
        <v>0</v>
      </c>
      <c r="O25" s="344"/>
      <c r="P25" s="344"/>
      <c r="Q25" s="344"/>
      <c r="R25" s="344"/>
      <c r="S25" s="344"/>
      <c r="T25" s="344"/>
    </row>
    <row r="26" spans="2:20" ht="13.8" thickBot="1" x14ac:dyDescent="0.3">
      <c r="B26" s="156" t="s">
        <v>52</v>
      </c>
      <c r="C26" s="322"/>
      <c r="D26" s="322"/>
      <c r="E26" s="348">
        <f>SUM(E21:E25)</f>
        <v>0</v>
      </c>
      <c r="F26" s="322"/>
      <c r="G26" s="348"/>
      <c r="H26" s="388"/>
      <c r="I26" s="395">
        <f>SUM(I21:I25)</f>
        <v>171250</v>
      </c>
      <c r="J26" s="389"/>
      <c r="K26" s="389"/>
      <c r="L26" s="395">
        <f>SUM(L21:L25)</f>
        <v>11250</v>
      </c>
      <c r="M26" s="395"/>
      <c r="N26" s="395">
        <f>SUM(N21:N25)</f>
        <v>1250</v>
      </c>
      <c r="O26" s="344"/>
      <c r="P26" s="344"/>
      <c r="Q26" s="344"/>
      <c r="R26" s="344"/>
      <c r="S26" s="344"/>
      <c r="T26" s="344"/>
    </row>
    <row r="27" spans="2:20" s="221" customFormat="1" x14ac:dyDescent="0.25">
      <c r="B27" s="383"/>
      <c r="C27" s="349"/>
      <c r="D27" s="349"/>
      <c r="E27" s="382"/>
      <c r="F27" s="349"/>
      <c r="G27" s="382"/>
      <c r="H27" s="349"/>
      <c r="I27" s="382"/>
      <c r="J27" s="349"/>
      <c r="K27" s="349"/>
      <c r="L27" s="382"/>
      <c r="M27" s="382"/>
      <c r="N27" s="382"/>
      <c r="O27" s="344"/>
      <c r="P27" s="344"/>
      <c r="Q27" s="344"/>
      <c r="R27" s="344"/>
      <c r="S27" s="344"/>
      <c r="T27" s="344"/>
    </row>
    <row r="28" spans="2:20" ht="12.75" customHeight="1" thickBot="1" x14ac:dyDescent="0.3">
      <c r="D28" s="177"/>
      <c r="E28" s="164"/>
      <c r="F28" s="164"/>
      <c r="G28" s="164"/>
      <c r="H28" s="164"/>
      <c r="I28" s="164"/>
      <c r="J28" s="164"/>
      <c r="K28" s="164"/>
      <c r="L28" s="164"/>
      <c r="M28" s="164"/>
      <c r="N28" s="164"/>
    </row>
    <row r="29" spans="2:20" ht="12.75" customHeight="1" x14ac:dyDescent="0.3">
      <c r="B29" s="215" t="s">
        <v>169</v>
      </c>
      <c r="C29" s="216" t="s">
        <v>170</v>
      </c>
      <c r="D29" s="217" t="s">
        <v>171</v>
      </c>
      <c r="E29" s="211"/>
      <c r="F29" s="211"/>
      <c r="G29" s="211"/>
      <c r="H29" s="211"/>
      <c r="I29" s="212"/>
      <c r="J29" s="213"/>
      <c r="K29" s="211"/>
      <c r="L29" s="211"/>
      <c r="M29" s="211"/>
      <c r="N29" s="211"/>
      <c r="T29" s="58"/>
    </row>
    <row r="30" spans="2:20" ht="12.75" customHeight="1" thickBot="1" x14ac:dyDescent="0.35">
      <c r="B30" s="367">
        <v>80000</v>
      </c>
      <c r="C30" s="368">
        <v>0.03</v>
      </c>
      <c r="D30" s="218">
        <f>B30*C30</f>
        <v>2400</v>
      </c>
      <c r="E30" s="209"/>
      <c r="F30" s="209"/>
      <c r="G30" s="209"/>
      <c r="H30" s="209"/>
      <c r="I30" s="209"/>
      <c r="J30" s="209"/>
      <c r="K30" s="211"/>
      <c r="L30" s="211"/>
      <c r="M30" s="211"/>
      <c r="N30" s="211"/>
      <c r="O30" s="61"/>
      <c r="T30" s="48"/>
    </row>
    <row r="31" spans="2:20" ht="12.75" customHeight="1" thickBot="1" x14ac:dyDescent="0.35">
      <c r="D31" s="209"/>
      <c r="E31" s="209"/>
      <c r="F31" s="209"/>
      <c r="G31" s="209"/>
      <c r="H31" s="209"/>
      <c r="I31" s="209"/>
      <c r="J31" s="209"/>
      <c r="K31" s="211"/>
      <c r="L31" s="211"/>
      <c r="M31" s="211"/>
      <c r="N31" s="211"/>
      <c r="O31" s="61"/>
      <c r="T31" s="48"/>
    </row>
    <row r="32" spans="2:20" ht="12.75" customHeight="1" x14ac:dyDescent="0.3">
      <c r="B32" s="215" t="s">
        <v>172</v>
      </c>
      <c r="C32" s="216" t="s">
        <v>170</v>
      </c>
      <c r="D32" s="217" t="s">
        <v>175</v>
      </c>
      <c r="E32" s="209"/>
      <c r="F32" s="209"/>
      <c r="G32" s="209"/>
      <c r="H32" s="209"/>
      <c r="I32" s="209"/>
      <c r="J32" s="209"/>
      <c r="K32" s="211"/>
      <c r="L32" s="211"/>
      <c r="M32" s="211"/>
      <c r="N32" s="211"/>
      <c r="O32" s="61"/>
      <c r="T32" s="48"/>
    </row>
    <row r="33" spans="2:20" ht="12.75" customHeight="1" thickBot="1" x14ac:dyDescent="0.35">
      <c r="B33" s="367">
        <v>220000</v>
      </c>
      <c r="C33" s="368">
        <v>0.05</v>
      </c>
      <c r="D33" s="218">
        <f>B33*C33</f>
        <v>11000</v>
      </c>
      <c r="E33" s="209"/>
      <c r="F33" s="209"/>
      <c r="G33" s="209"/>
      <c r="H33" s="209"/>
      <c r="I33" s="209"/>
      <c r="J33" s="209"/>
      <c r="K33" s="211"/>
      <c r="L33" s="211"/>
      <c r="M33" s="211"/>
      <c r="N33" s="211"/>
      <c r="T33" s="48"/>
    </row>
    <row r="34" spans="2:20" ht="12.75" customHeight="1" thickBot="1" x14ac:dyDescent="0.35">
      <c r="D34" s="209"/>
      <c r="E34" s="209"/>
      <c r="F34" s="209"/>
      <c r="G34" s="209"/>
      <c r="H34" s="209"/>
      <c r="I34" s="209"/>
      <c r="J34" s="209"/>
      <c r="K34" s="211"/>
      <c r="L34" s="211"/>
      <c r="M34" s="211"/>
      <c r="N34" s="211"/>
      <c r="O34" s="35"/>
      <c r="R34" s="35"/>
      <c r="S34" s="35"/>
    </row>
    <row r="35" spans="2:20" ht="12.75" customHeight="1" x14ac:dyDescent="0.3">
      <c r="B35" s="174" t="s">
        <v>106</v>
      </c>
      <c r="C35" s="171"/>
      <c r="D35" s="209"/>
      <c r="E35" s="209"/>
      <c r="F35" s="209"/>
      <c r="G35" s="209"/>
      <c r="H35" s="209"/>
      <c r="I35" s="209"/>
      <c r="J35" s="209"/>
      <c r="K35" s="211"/>
      <c r="L35" s="211"/>
      <c r="M35" s="211"/>
      <c r="N35" s="211"/>
      <c r="O35" s="93"/>
      <c r="R35" s="94"/>
      <c r="S35" s="49"/>
    </row>
    <row r="36" spans="2:20" ht="12.75" customHeight="1" x14ac:dyDescent="0.3">
      <c r="B36" s="332" t="s">
        <v>103</v>
      </c>
      <c r="C36" s="365">
        <v>3000</v>
      </c>
      <c r="D36" s="209"/>
      <c r="E36" s="209"/>
      <c r="F36" s="209"/>
      <c r="G36" s="209"/>
      <c r="H36" s="209"/>
      <c r="I36" s="209"/>
      <c r="J36" s="209"/>
      <c r="K36" s="211"/>
      <c r="L36" s="211"/>
      <c r="M36" s="211"/>
      <c r="N36" s="211"/>
    </row>
    <row r="37" spans="2:20" ht="14.4" x14ac:dyDescent="0.3">
      <c r="B37" s="333" t="s">
        <v>102</v>
      </c>
      <c r="C37" s="366">
        <v>500</v>
      </c>
      <c r="D37" s="209"/>
      <c r="E37" s="209"/>
      <c r="F37" s="209"/>
      <c r="G37" s="209"/>
      <c r="H37" s="209"/>
      <c r="I37" s="209"/>
      <c r="J37" s="209"/>
      <c r="K37" s="211"/>
      <c r="L37" s="211"/>
      <c r="M37" s="211"/>
      <c r="N37" s="211"/>
      <c r="O37" s="155"/>
    </row>
    <row r="38" spans="2:20" ht="14.4" x14ac:dyDescent="0.3">
      <c r="B38" s="332" t="s">
        <v>105</v>
      </c>
      <c r="C38" s="365">
        <v>100</v>
      </c>
      <c r="D38" s="209"/>
      <c r="E38" s="209"/>
      <c r="F38" s="209"/>
      <c r="G38" s="209"/>
      <c r="H38" s="209"/>
      <c r="I38" s="209"/>
      <c r="J38" s="209"/>
      <c r="K38" s="211"/>
      <c r="L38" s="211"/>
      <c r="M38" s="211"/>
      <c r="N38" s="211"/>
      <c r="O38" s="155"/>
    </row>
    <row r="39" spans="2:20" x14ac:dyDescent="0.25">
      <c r="B39" s="333" t="s">
        <v>165</v>
      </c>
      <c r="C39" s="366">
        <v>1500</v>
      </c>
      <c r="D39" s="164"/>
      <c r="E39" s="164"/>
      <c r="F39" s="164"/>
      <c r="G39" s="164"/>
      <c r="H39" s="214"/>
      <c r="I39" s="164"/>
      <c r="J39" s="164"/>
      <c r="K39" s="164"/>
      <c r="L39" s="214"/>
      <c r="M39" s="214"/>
      <c r="N39" s="214"/>
      <c r="O39" s="155"/>
    </row>
    <row r="40" spans="2:20" x14ac:dyDescent="0.25">
      <c r="B40" s="339" t="s">
        <v>140</v>
      </c>
      <c r="C40" s="365">
        <v>1500</v>
      </c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</row>
    <row r="41" spans="2:20" x14ac:dyDescent="0.25">
      <c r="B41" s="333" t="s">
        <v>145</v>
      </c>
      <c r="C41" s="366">
        <v>500</v>
      </c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55"/>
    </row>
    <row r="42" spans="2:20" x14ac:dyDescent="0.25">
      <c r="B42" s="332" t="s">
        <v>146</v>
      </c>
      <c r="C42" s="365">
        <v>400</v>
      </c>
      <c r="D42" s="177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55"/>
    </row>
    <row r="43" spans="2:20" ht="14.4" x14ac:dyDescent="0.3">
      <c r="B43" s="333" t="s">
        <v>148</v>
      </c>
      <c r="C43" s="366">
        <v>400</v>
      </c>
      <c r="D43" s="210"/>
      <c r="E43" s="211"/>
      <c r="F43" s="211"/>
      <c r="H43" s="211"/>
      <c r="I43" s="211"/>
      <c r="J43" s="212"/>
      <c r="K43" s="213"/>
      <c r="L43" s="211"/>
      <c r="M43" s="211"/>
      <c r="N43" s="211"/>
      <c r="O43" s="155"/>
    </row>
    <row r="44" spans="2:20" ht="14.4" x14ac:dyDescent="0.3">
      <c r="B44" s="332" t="s">
        <v>147</v>
      </c>
      <c r="C44" s="365">
        <v>300</v>
      </c>
      <c r="D44" s="209"/>
      <c r="E44" s="209"/>
      <c r="F44" s="209"/>
      <c r="G44" s="209"/>
      <c r="H44" s="209"/>
      <c r="I44" s="209"/>
      <c r="J44" s="209"/>
      <c r="K44" s="209"/>
      <c r="L44" s="211"/>
      <c r="M44" s="211"/>
      <c r="N44" s="211"/>
      <c r="O44" s="155"/>
    </row>
    <row r="45" spans="2:20" ht="14.4" x14ac:dyDescent="0.3">
      <c r="B45" s="333" t="s">
        <v>149</v>
      </c>
      <c r="C45" s="366">
        <v>200</v>
      </c>
      <c r="D45" s="209"/>
      <c r="E45" s="209"/>
      <c r="F45" s="209"/>
      <c r="G45" s="209"/>
      <c r="H45" s="209"/>
      <c r="I45" s="209"/>
      <c r="J45" s="209"/>
      <c r="K45" s="209"/>
      <c r="L45" s="211"/>
      <c r="M45" s="211"/>
      <c r="N45" s="211"/>
      <c r="O45" s="155"/>
    </row>
    <row r="46" spans="2:20" ht="14.4" x14ac:dyDescent="0.3">
      <c r="B46" s="332" t="s">
        <v>163</v>
      </c>
      <c r="C46" s="365">
        <v>1000</v>
      </c>
      <c r="D46" s="209"/>
      <c r="E46" s="209"/>
      <c r="F46" s="209"/>
      <c r="G46" s="209"/>
      <c r="H46" s="209"/>
      <c r="I46" s="209"/>
      <c r="J46" s="209"/>
      <c r="K46" s="209"/>
      <c r="L46" s="211"/>
      <c r="M46" s="211"/>
      <c r="N46" s="211"/>
      <c r="O46" s="155"/>
    </row>
    <row r="47" spans="2:20" ht="15" thickBot="1" x14ac:dyDescent="0.35">
      <c r="B47" s="156" t="s">
        <v>52</v>
      </c>
      <c r="C47" s="173">
        <f>SUM(C36:C46)</f>
        <v>9400</v>
      </c>
      <c r="D47" s="209"/>
      <c r="E47" s="209"/>
      <c r="F47" s="209"/>
      <c r="G47" s="209"/>
      <c r="H47" s="209"/>
      <c r="I47" s="209"/>
      <c r="J47" s="209"/>
      <c r="K47" s="209"/>
      <c r="L47" s="211"/>
      <c r="M47" s="211"/>
      <c r="N47" s="211"/>
      <c r="O47" s="155"/>
    </row>
    <row r="48" spans="2:20" ht="14.4" x14ac:dyDescent="0.3">
      <c r="D48" s="209"/>
      <c r="E48" s="209"/>
      <c r="F48" s="209"/>
      <c r="G48" s="209"/>
      <c r="H48" s="209"/>
      <c r="I48" s="209"/>
      <c r="J48" s="209"/>
      <c r="K48" s="209"/>
      <c r="L48" s="211"/>
      <c r="M48" s="211"/>
      <c r="N48" s="211"/>
      <c r="O48" s="155"/>
    </row>
    <row r="49" spans="2:15" ht="14.4" x14ac:dyDescent="0.3">
      <c r="D49" s="209"/>
      <c r="E49" s="209"/>
      <c r="F49" s="209"/>
      <c r="G49" s="209"/>
      <c r="H49" s="209"/>
      <c r="I49" s="209"/>
      <c r="J49" s="209"/>
      <c r="K49" s="209"/>
      <c r="L49" s="211"/>
      <c r="M49" s="211"/>
      <c r="N49" s="211"/>
      <c r="O49" s="155"/>
    </row>
    <row r="50" spans="2:15" ht="14.4" x14ac:dyDescent="0.3">
      <c r="D50" s="209"/>
      <c r="E50" s="209"/>
      <c r="F50" s="209"/>
      <c r="G50" s="209"/>
      <c r="H50" s="209"/>
      <c r="I50" s="209"/>
      <c r="J50" s="209"/>
      <c r="K50" s="209"/>
      <c r="L50" s="211"/>
      <c r="M50" s="211"/>
      <c r="N50" s="211"/>
      <c r="O50" s="155"/>
    </row>
    <row r="51" spans="2:15" ht="14.4" x14ac:dyDescent="0.3">
      <c r="D51" s="209"/>
      <c r="E51" s="209"/>
      <c r="F51" s="209"/>
      <c r="G51" s="209"/>
      <c r="H51" s="209"/>
      <c r="I51" s="209"/>
      <c r="J51" s="209"/>
      <c r="K51" s="209"/>
      <c r="L51" s="211"/>
      <c r="M51" s="211"/>
      <c r="N51" s="211"/>
      <c r="O51" s="164"/>
    </row>
    <row r="52" spans="2:15" ht="14.4" x14ac:dyDescent="0.3">
      <c r="D52" s="209"/>
      <c r="E52" s="209"/>
      <c r="F52" s="209"/>
      <c r="G52" s="209"/>
      <c r="H52" s="209"/>
      <c r="I52" s="209"/>
      <c r="J52" s="209"/>
      <c r="K52" s="209"/>
      <c r="L52" s="211"/>
      <c r="M52" s="211"/>
      <c r="N52" s="211"/>
      <c r="O52" s="164"/>
    </row>
    <row r="53" spans="2:15" ht="14.4" x14ac:dyDescent="0.3">
      <c r="B53" s="164"/>
      <c r="C53" s="164"/>
      <c r="D53" s="164"/>
      <c r="E53" s="164"/>
      <c r="F53" s="164"/>
      <c r="G53" s="164"/>
      <c r="H53" s="164"/>
      <c r="I53" s="214"/>
      <c r="J53" s="164"/>
      <c r="K53" s="164"/>
      <c r="L53" s="164"/>
      <c r="M53" s="214"/>
      <c r="N53" s="214"/>
      <c r="O53" s="211"/>
    </row>
    <row r="54" spans="2:15" ht="14.4" x14ac:dyDescent="0.3">
      <c r="O54" s="211"/>
    </row>
    <row r="55" spans="2:15" ht="14.4" x14ac:dyDescent="0.3">
      <c r="O55" s="211"/>
    </row>
    <row r="56" spans="2:15" ht="14.4" x14ac:dyDescent="0.3">
      <c r="B56" s="58"/>
      <c r="E56" s="93"/>
      <c r="F56" s="93"/>
      <c r="G56" s="93"/>
      <c r="H56" s="93"/>
      <c r="I56" s="93"/>
      <c r="J56" s="93"/>
      <c r="M56" s="58"/>
      <c r="N56" s="93"/>
      <c r="O56" s="211"/>
    </row>
    <row r="57" spans="2:15" ht="14.4" x14ac:dyDescent="0.3">
      <c r="B57" s="58"/>
      <c r="E57" s="80"/>
      <c r="F57" s="60"/>
      <c r="G57" s="7"/>
      <c r="H57" s="7"/>
      <c r="I57" s="7"/>
      <c r="J57" s="7"/>
      <c r="K57" s="60"/>
      <c r="L57" s="60"/>
      <c r="M57" s="7"/>
      <c r="N57" s="7"/>
      <c r="O57" s="211"/>
    </row>
    <row r="58" spans="2:15" ht="14.4" x14ac:dyDescent="0.3">
      <c r="O58" s="211"/>
    </row>
    <row r="59" spans="2:15" ht="14.4" x14ac:dyDescent="0.3">
      <c r="B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211"/>
    </row>
    <row r="60" spans="2:15" ht="14.4" x14ac:dyDescent="0.3">
      <c r="B60" s="35"/>
      <c r="E60" s="93"/>
      <c r="F60" s="93"/>
      <c r="G60" s="49"/>
      <c r="H60" s="93"/>
      <c r="I60" s="49"/>
      <c r="J60" s="93"/>
      <c r="K60" s="49"/>
      <c r="L60" s="49"/>
      <c r="M60" s="93"/>
      <c r="N60" s="93"/>
      <c r="O60" s="211"/>
    </row>
    <row r="61" spans="2:15" ht="14.4" x14ac:dyDescent="0.3">
      <c r="O61" s="211"/>
    </row>
    <row r="62" spans="2:15" ht="14.4" x14ac:dyDescent="0.3">
      <c r="O62" s="211"/>
    </row>
    <row r="63" spans="2:15" x14ac:dyDescent="0.25">
      <c r="O63" s="214"/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9"/>
  <sheetViews>
    <sheetView workbookViewId="0">
      <selection activeCell="E9" sqref="E9"/>
    </sheetView>
  </sheetViews>
  <sheetFormatPr defaultRowHeight="13.2" x14ac:dyDescent="0.25"/>
  <sheetData>
    <row r="1" spans="1:2" x14ac:dyDescent="0.25">
      <c r="A1" s="26"/>
    </row>
    <row r="2" spans="1:2" x14ac:dyDescent="0.25">
      <c r="B2" s="26" t="s">
        <v>40</v>
      </c>
    </row>
    <row r="3" spans="1:2" x14ac:dyDescent="0.25">
      <c r="B3" s="26" t="s">
        <v>41</v>
      </c>
    </row>
    <row r="4" spans="1:2" x14ac:dyDescent="0.25">
      <c r="B4" s="26" t="s">
        <v>42</v>
      </c>
    </row>
    <row r="5" spans="1:2" x14ac:dyDescent="0.25">
      <c r="B5" s="26" t="s">
        <v>43</v>
      </c>
    </row>
    <row r="6" spans="1:2" x14ac:dyDescent="0.25">
      <c r="B6" s="158" t="s">
        <v>144</v>
      </c>
    </row>
    <row r="7" spans="1:2" x14ac:dyDescent="0.25">
      <c r="B7" s="26" t="s">
        <v>45</v>
      </c>
    </row>
    <row r="8" spans="1:2" x14ac:dyDescent="0.25">
      <c r="B8" s="26" t="s">
        <v>46</v>
      </c>
    </row>
    <row r="9" spans="1:2" x14ac:dyDescent="0.25">
      <c r="B9" s="26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9</vt:i4>
      </vt:variant>
      <vt:variant>
        <vt:lpstr>Nimetyt alueet</vt:lpstr>
      </vt:variant>
      <vt:variant>
        <vt:i4>2</vt:i4>
      </vt:variant>
    </vt:vector>
  </HeadingPairs>
  <TitlesOfParts>
    <vt:vector size="11" baseType="lpstr">
      <vt:lpstr>Tuotanto</vt:lpstr>
      <vt:lpstr>Myyntituotot</vt:lpstr>
      <vt:lpstr>Tuet</vt:lpstr>
      <vt:lpstr>Muuttuvat kustannukset</vt:lpstr>
      <vt:lpstr>Työn menekki</vt:lpstr>
      <vt:lpstr>Katelaskenta</vt:lpstr>
      <vt:lpstr>Yhteenveto</vt:lpstr>
      <vt:lpstr>Kiinteät kustannukset</vt:lpstr>
      <vt:lpstr>aputaulukot</vt:lpstr>
      <vt:lpstr>tukialue</vt:lpstr>
      <vt:lpstr>tukialueet</vt:lpstr>
    </vt:vector>
  </TitlesOfParts>
  <Company>hk-ruokatalo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JUHLEVO</dc:creator>
  <cp:lastModifiedBy>Elina Lokasaari</cp:lastModifiedBy>
  <cp:lastPrinted>2018-11-13T14:15:29Z</cp:lastPrinted>
  <dcterms:created xsi:type="dcterms:W3CDTF">2006-03-14T06:25:52Z</dcterms:created>
  <dcterms:modified xsi:type="dcterms:W3CDTF">2019-03-07T08:20:05Z</dcterms:modified>
</cp:coreProperties>
</file>