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5240" windowHeight="8670" activeTab="0"/>
  </bookViews>
  <sheets>
    <sheet name="Havaintotaulukko" sheetId="1" r:id="rId1"/>
    <sheet name="Keskiarvot" sheetId="2" r:id="rId2"/>
    <sheet name="Tulokset" sheetId="3" r:id="rId3"/>
  </sheets>
  <definedNames>
    <definedName name="_xlnm._FilterDatabase" localSheetId="1" hidden="1">'Keskiarvot'!$B$3:$B$27</definedName>
    <definedName name="_xlnm.Print_Area" localSheetId="0">'Havaintotaulukko'!$A$1:$H$94</definedName>
  </definedNames>
  <calcPr fullCalcOnLoad="1"/>
</workbook>
</file>

<file path=xl/sharedStrings.xml><?xml version="1.0" encoding="utf-8"?>
<sst xmlns="http://schemas.openxmlformats.org/spreadsheetml/2006/main" count="171" uniqueCount="112">
  <si>
    <t>Tila:</t>
  </si>
  <si>
    <t>Lohko:</t>
  </si>
  <si>
    <t>Päivämäärä:</t>
  </si>
  <si>
    <t>Testin tekijä:</t>
  </si>
  <si>
    <t>Maalaji</t>
  </si>
  <si>
    <t>Pohjamaan
vedenjohtavuus</t>
  </si>
  <si>
    <t>Kairatun reiän syvyys (D)</t>
  </si>
  <si>
    <t>Maahengitys</t>
  </si>
  <si>
    <t>Kellonaika inkubaation alkaessa</t>
  </si>
  <si>
    <t>Havainnot koko profiilista</t>
  </si>
  <si>
    <t>Yleisrakenne</t>
  </si>
  <si>
    <t>Murtuvuus</t>
  </si>
  <si>
    <t>Lierokäytävät</t>
  </si>
  <si>
    <t>Juurikanavat</t>
  </si>
  <si>
    <t>Murujen koko</t>
  </si>
  <si>
    <t>Murujen muoto</t>
  </si>
  <si>
    <t>Lierot</t>
  </si>
  <si>
    <t xml:space="preserve">Kastelieroja </t>
  </si>
  <si>
    <t>Kellonaika inkubaation lopussa</t>
  </si>
  <si>
    <t>Pintamaan 
vedenjohtavuus</t>
  </si>
  <si>
    <t>Kellonaika aluksi</t>
  </si>
  <si>
    <t>Vedenpinnan korkeus aluksi</t>
  </si>
  <si>
    <t>Kellonaika lopuksi</t>
  </si>
  <si>
    <t>Vedenpinnan korkeus lopuksi</t>
  </si>
  <si>
    <t>Pohjavesi maan pinnasta (E)</t>
  </si>
  <si>
    <t>Kellonaika, 1. mittaus</t>
  </si>
  <si>
    <t>Lukema, 1. mittaus</t>
  </si>
  <si>
    <t>Kellonaika, 2. mittaus</t>
  </si>
  <si>
    <t>Lukema, 2. mittaus</t>
  </si>
  <si>
    <t>Mittaus luotettava?</t>
  </si>
  <si>
    <t xml:space="preserve">pH </t>
  </si>
  <si>
    <t>Ca</t>
  </si>
  <si>
    <t>K</t>
  </si>
  <si>
    <t>P</t>
  </si>
  <si>
    <t>Mg</t>
  </si>
  <si>
    <t>Yksikkö</t>
  </si>
  <si>
    <t>cm</t>
  </si>
  <si>
    <t>vol%</t>
  </si>
  <si>
    <t>kpl/näyte</t>
  </si>
  <si>
    <t>kpl/kehikko</t>
  </si>
  <si>
    <t>°C</t>
  </si>
  <si>
    <t>l</t>
  </si>
  <si>
    <t>cm/h</t>
  </si>
  <si>
    <t>merkitse x</t>
  </si>
  <si>
    <t>Lukema</t>
  </si>
  <si>
    <t>Pisteet</t>
  </si>
  <si>
    <t>Lukema    1. rengas</t>
  </si>
  <si>
    <t>Lukema    2. rengas</t>
  </si>
  <si>
    <t>Havaintotaulukko</t>
  </si>
  <si>
    <t>Biologiset ominaisuudet</t>
  </si>
  <si>
    <t>biologiset</t>
  </si>
  <si>
    <t>fysikaaliset</t>
  </si>
  <si>
    <t>kemialliset</t>
  </si>
  <si>
    <t>Fysikaaliset ominaisuudet</t>
  </si>
  <si>
    <t>Kemialliset ominaisuudet</t>
  </si>
  <si>
    <t>Maan kosteustila testipäivänä</t>
  </si>
  <si>
    <t>Kastelieroja
sinappitestissä</t>
  </si>
  <si>
    <t>Tiivistymät ja iskostumat</t>
  </si>
  <si>
    <t>Pintamaan
vedenjohtavuus, keskiarvo</t>
  </si>
  <si>
    <t>Multavuus</t>
  </si>
  <si>
    <t>Maan pintarakenteen kestävyys</t>
  </si>
  <si>
    <t>Kasvustotähteiden hajoaminen</t>
  </si>
  <si>
    <t>Palkokasvinystyrät</t>
  </si>
  <si>
    <t>huono</t>
  </si>
  <si>
    <t>huononlainen</t>
  </si>
  <si>
    <t>välttävä</t>
  </si>
  <si>
    <t>tyydyttävä</t>
  </si>
  <si>
    <t>hyvä</t>
  </si>
  <si>
    <t>korkea</t>
  </si>
  <si>
    <t>arv. korkea</t>
  </si>
  <si>
    <t>Viljavuusluokka</t>
  </si>
  <si>
    <t>Havainnot pohjamaasta</t>
  </si>
  <si>
    <t>Havainnot ruokamultakerroksesta</t>
  </si>
  <si>
    <t>liian märkä</t>
  </si>
  <si>
    <t>liian kuiva</t>
  </si>
  <si>
    <t>S</t>
  </si>
  <si>
    <t>KHt</t>
  </si>
  <si>
    <t>Hs tai HHt</t>
  </si>
  <si>
    <t>Pohjamaa 50-100 cm:n syvyydessä</t>
  </si>
  <si>
    <t>sopiva</t>
  </si>
  <si>
    <t>Havaintopiste 1</t>
  </si>
  <si>
    <t>Havaintopiste 2</t>
  </si>
  <si>
    <t>Havaintopiste 3</t>
  </si>
  <si>
    <t>Ruokamultakerros</t>
  </si>
  <si>
    <t>Pohjamaan vedenjohtavuus</t>
  </si>
  <si>
    <t>Pintamaan vedenjohtavuus</t>
  </si>
  <si>
    <t>Kastelieroja</t>
  </si>
  <si>
    <t>Kammioiden tilavuus</t>
  </si>
  <si>
    <t>Kammioiden halkaisija</t>
  </si>
  <si>
    <t xml:space="preserve">Lämpötila </t>
  </si>
  <si>
    <t>Ennen kuin katsot tuloskaaviota, valitse nuolesta avautuvan pudotusvalikon lopusta "(ei tyhjät)". Näin näet kaaviossa kaikki tekemäsi testit (ja vain ne).</t>
  </si>
  <si>
    <r>
      <t xml:space="preserve">Peltomaan laatutesti </t>
    </r>
    <r>
      <rPr>
        <sz val="10"/>
        <color indexed="37"/>
        <rFont val="Arial"/>
        <family val="2"/>
      </rPr>
      <t xml:space="preserve">                                                             </t>
    </r>
    <r>
      <rPr>
        <b/>
        <sz val="16"/>
        <color indexed="37"/>
        <rFont val="Arial"/>
        <family val="2"/>
      </rPr>
      <t xml:space="preserve"> </t>
    </r>
  </si>
  <si>
    <r>
      <t>h</t>
    </r>
    <r>
      <rPr>
        <b/>
        <sz val="10"/>
        <color indexed="37"/>
        <rFont val="Arial"/>
        <family val="2"/>
      </rPr>
      <t>:</t>
    </r>
    <r>
      <rPr>
        <sz val="10"/>
        <color indexed="37"/>
        <rFont val="Arial"/>
        <family val="2"/>
      </rPr>
      <t>min</t>
    </r>
  </si>
  <si>
    <r>
      <t>kpl/m</t>
    </r>
    <r>
      <rPr>
        <vertAlign val="superscript"/>
        <sz val="10"/>
        <color indexed="37"/>
        <rFont val="Arial"/>
        <family val="2"/>
      </rPr>
      <t>2</t>
    </r>
  </si>
  <si>
    <r>
      <t>h</t>
    </r>
    <r>
      <rPr>
        <b/>
        <sz val="10"/>
        <color indexed="37"/>
        <rFont val="Arial"/>
        <family val="2"/>
      </rPr>
      <t>:</t>
    </r>
    <r>
      <rPr>
        <sz val="10"/>
        <color indexed="37"/>
        <rFont val="Arial"/>
        <family val="2"/>
      </rPr>
      <t>min</t>
    </r>
    <r>
      <rPr>
        <b/>
        <sz val="10"/>
        <color indexed="37"/>
        <rFont val="Arial"/>
        <family val="2"/>
      </rPr>
      <t>:</t>
    </r>
    <r>
      <rPr>
        <sz val="10"/>
        <color indexed="37"/>
        <rFont val="Arial"/>
        <family val="2"/>
      </rPr>
      <t>sek</t>
    </r>
  </si>
  <si>
    <r>
      <t>CO</t>
    </r>
    <r>
      <rPr>
        <vertAlign val="superscript"/>
        <sz val="10"/>
        <color indexed="37"/>
        <rFont val="Arial"/>
        <family val="2"/>
      </rPr>
      <t>2</t>
    </r>
    <r>
      <rPr>
        <sz val="10"/>
        <color indexed="37"/>
        <rFont val="Arial"/>
        <family val="2"/>
      </rPr>
      <t>-pit. lopussa</t>
    </r>
  </si>
  <si>
    <r>
      <t xml:space="preserve"> CO2-C [g/m</t>
    </r>
    <r>
      <rPr>
        <vertAlign val="superscript"/>
        <sz val="10"/>
        <color indexed="37"/>
        <rFont val="Arial"/>
        <family val="2"/>
      </rPr>
      <t>2</t>
    </r>
    <r>
      <rPr>
        <sz val="10"/>
        <color indexed="37"/>
        <rFont val="Arial"/>
        <family val="2"/>
      </rPr>
      <t>/d]</t>
    </r>
  </si>
  <si>
    <t>Pintamaan ja -karikkeen lieroja
maanäytteessä</t>
  </si>
  <si>
    <t>Kaikki lierot yhteensä</t>
  </si>
  <si>
    <t>Kaikkia lieroja yhteensä</t>
  </si>
  <si>
    <t>Maahengitys (jos lt 0-15 ˚C)</t>
  </si>
  <si>
    <t>Taustatiedot</t>
  </si>
  <si>
    <t>Täydentävien mittausten aloitukset</t>
  </si>
  <si>
    <t>Kuoppahavainnot</t>
  </si>
  <si>
    <t>Täydentävät mittaukset</t>
  </si>
  <si>
    <t>Viljavuusanalyysi</t>
  </si>
  <si>
    <t>hiven1</t>
  </si>
  <si>
    <t>hiven2</t>
  </si>
  <si>
    <t>hiven3</t>
  </si>
  <si>
    <t>hiven4</t>
  </si>
  <si>
    <t>hiven5</t>
  </si>
  <si>
    <t>© MTT ja ProAgria 10/2006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</si>
</sst>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:mm;@"/>
    <numFmt numFmtId="173" formatCode="0.0"/>
    <numFmt numFmtId="174" formatCode="0.000"/>
    <numFmt numFmtId="175" formatCode="0.00000"/>
    <numFmt numFmtId="176" formatCode="h/mm/ss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</numFmts>
  <fonts count="15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5"/>
      <name val="Arial"/>
      <family val="2"/>
    </font>
    <font>
      <sz val="10.75"/>
      <name val="Arial"/>
      <family val="0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12"/>
      <color indexed="37"/>
      <name val="Arial"/>
      <family val="2"/>
    </font>
    <font>
      <sz val="10"/>
      <color indexed="37"/>
      <name val="Arial"/>
      <family val="2"/>
    </font>
    <font>
      <b/>
      <sz val="16"/>
      <color indexed="37"/>
      <name val="Arial"/>
      <family val="2"/>
    </font>
    <font>
      <b/>
      <sz val="10"/>
      <color indexed="37"/>
      <name val="Arial"/>
      <family val="2"/>
    </font>
    <font>
      <vertAlign val="superscript"/>
      <sz val="10"/>
      <color indexed="37"/>
      <name val="Arial"/>
      <family val="2"/>
    </font>
    <font>
      <sz val="8"/>
      <color indexed="6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dashed">
        <color indexed="60"/>
      </right>
      <top style="thin">
        <color indexed="60"/>
      </top>
      <bottom style="dashed">
        <color indexed="60"/>
      </bottom>
    </border>
    <border>
      <left style="thin">
        <color indexed="60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thin">
        <color indexed="60"/>
      </left>
      <right style="dashed">
        <color indexed="60"/>
      </right>
      <top style="dashed">
        <color indexed="60"/>
      </top>
      <bottom style="thin">
        <color indexed="60"/>
      </bottom>
    </border>
    <border>
      <left style="thin">
        <color indexed="60"/>
      </left>
      <right style="dashed">
        <color indexed="60"/>
      </right>
      <top style="dashed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dashed">
        <color indexed="60"/>
      </right>
      <top style="thin">
        <color indexed="60"/>
      </top>
      <bottom style="thin">
        <color indexed="60"/>
      </bottom>
    </border>
    <border>
      <left style="dashed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dashed">
        <color indexed="60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dashed">
        <color indexed="60"/>
      </left>
      <right style="thin">
        <color indexed="60"/>
      </right>
      <top style="dashed">
        <color indexed="60"/>
      </top>
      <bottom style="dashed">
        <color indexed="60"/>
      </bottom>
    </border>
    <border>
      <left style="dashed">
        <color indexed="60"/>
      </left>
      <right style="dashed">
        <color indexed="60"/>
      </right>
      <top style="dashed">
        <color indexed="60"/>
      </top>
      <bottom style="thin">
        <color indexed="60"/>
      </bottom>
    </border>
    <border>
      <left style="dashed">
        <color indexed="60"/>
      </left>
      <right style="thin">
        <color indexed="60"/>
      </right>
      <top style="dashed">
        <color indexed="60"/>
      </top>
      <bottom style="thin">
        <color indexed="60"/>
      </bottom>
    </border>
    <border>
      <left style="dashed">
        <color indexed="60"/>
      </left>
      <right style="dashed">
        <color indexed="60"/>
      </right>
      <top style="thin">
        <color indexed="60"/>
      </top>
      <bottom style="dashed">
        <color indexed="60"/>
      </bottom>
    </border>
    <border>
      <left style="dashed">
        <color indexed="60"/>
      </left>
      <right style="thin">
        <color indexed="60"/>
      </right>
      <top style="thin">
        <color indexed="60"/>
      </top>
      <bottom style="dashed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dashed">
        <color indexed="60"/>
      </left>
      <right style="dashed">
        <color indexed="60"/>
      </right>
      <top style="dashed">
        <color indexed="60"/>
      </top>
      <bottom>
        <color indexed="63"/>
      </bottom>
    </border>
    <border>
      <left style="dashed">
        <color indexed="60"/>
      </left>
      <right style="thin">
        <color indexed="60"/>
      </right>
      <top style="dashed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left" vertical="center" shrinkToFi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9" fillId="0" borderId="5" xfId="0" applyFont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left" vertical="center" wrapText="1"/>
      <protection/>
    </xf>
    <xf numFmtId="2" fontId="9" fillId="4" borderId="6" xfId="0" applyNumberFormat="1" applyFont="1" applyFill="1" applyBorder="1" applyAlignment="1" applyProtection="1">
      <alignment vertical="center"/>
      <protection/>
    </xf>
    <xf numFmtId="2" fontId="9" fillId="4" borderId="7" xfId="0" applyNumberFormat="1" applyFont="1" applyFill="1" applyBorder="1" applyAlignment="1" applyProtection="1">
      <alignment vertical="center"/>
      <protection/>
    </xf>
    <xf numFmtId="2" fontId="9" fillId="4" borderId="8" xfId="0" applyNumberFormat="1" applyFont="1" applyFill="1" applyBorder="1" applyAlignment="1" applyProtection="1">
      <alignment vertical="center"/>
      <protection/>
    </xf>
    <xf numFmtId="2" fontId="9" fillId="4" borderId="9" xfId="0" applyNumberFormat="1" applyFont="1" applyFill="1" applyBorder="1" applyAlignment="1" applyProtection="1">
      <alignment vertical="center"/>
      <protection/>
    </xf>
    <xf numFmtId="2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left" vertical="center" shrinkToFit="1"/>
      <protection/>
    </xf>
    <xf numFmtId="21" fontId="9" fillId="3" borderId="10" xfId="0" applyNumberFormat="1" applyFont="1" applyFill="1" applyBorder="1" applyAlignment="1" applyProtection="1">
      <alignment horizontal="center" vertical="center" shrinkToFit="1"/>
      <protection locked="0"/>
    </xf>
    <xf numFmtId="21" fontId="9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10" xfId="0" applyNumberFormat="1" applyFont="1" applyFill="1" applyBorder="1" applyAlignment="1" applyProtection="1">
      <alignment horizontal="center" vertical="center" wrapText="1"/>
      <protection/>
    </xf>
    <xf numFmtId="2" fontId="9" fillId="4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left" wrapText="1"/>
      <protection/>
    </xf>
    <xf numFmtId="49" fontId="9" fillId="0" borderId="1" xfId="0" applyNumberFormat="1" applyFont="1" applyBorder="1" applyAlignment="1" applyProtection="1">
      <alignment horizontal="left" vertical="center" wrapText="1"/>
      <protection/>
    </xf>
    <xf numFmtId="0" fontId="9" fillId="3" borderId="1" xfId="0" applyFont="1" applyFill="1" applyBorder="1" applyAlignment="1" applyProtection="1">
      <alignment horizontal="center"/>
      <protection locked="0"/>
    </xf>
    <xf numFmtId="2" fontId="9" fillId="0" borderId="1" xfId="0" applyNumberFormat="1" applyFont="1" applyBorder="1" applyAlignment="1" applyProtection="1">
      <alignment horizontal="left"/>
      <protection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left"/>
      <protection/>
    </xf>
    <xf numFmtId="49" fontId="9" fillId="3" borderId="1" xfId="0" applyNumberFormat="1" applyFont="1" applyFill="1" applyBorder="1" applyAlignment="1" applyProtection="1">
      <alignment horizontal="left"/>
      <protection locked="0"/>
    </xf>
    <xf numFmtId="49" fontId="9" fillId="3" borderId="1" xfId="0" applyNumberFormat="1" applyFont="1" applyFill="1" applyBorder="1" applyAlignment="1" applyProtection="1">
      <alignment horizontal="left" wrapText="1"/>
      <protection locked="0"/>
    </xf>
    <xf numFmtId="2" fontId="9" fillId="3" borderId="1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8" fillId="4" borderId="0" xfId="0" applyFont="1" applyFill="1" applyBorder="1" applyAlignment="1" applyProtection="1">
      <alignment vertical="top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11" fillId="2" borderId="6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8" xfId="0" applyFont="1" applyFill="1" applyBorder="1" applyAlignment="1" applyProtection="1">
      <alignment horizontal="left" vertical="center" wrapText="1"/>
      <protection/>
    </xf>
    <xf numFmtId="0" fontId="11" fillId="2" borderId="16" xfId="0" applyFont="1" applyFill="1" applyBorder="1" applyAlignment="1" applyProtection="1">
      <alignment horizontal="left" vertical="center" wrapText="1"/>
      <protection/>
    </xf>
    <xf numFmtId="0" fontId="9" fillId="3" borderId="1" xfId="0" applyFont="1" applyFill="1" applyBorder="1" applyAlignment="1" applyProtection="1">
      <alignment horizontal="left"/>
      <protection locked="0"/>
    </xf>
    <xf numFmtId="14" fontId="9" fillId="3" borderId="1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/>
    </xf>
    <xf numFmtId="173" fontId="11" fillId="4" borderId="1" xfId="0" applyNumberFormat="1" applyFont="1" applyFill="1" applyBorder="1" applyAlignment="1" applyProtection="1">
      <alignment horizontal="center" vertical="center" wrapText="1"/>
      <protection/>
    </xf>
    <xf numFmtId="2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17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top"/>
      <protection/>
    </xf>
    <xf numFmtId="1" fontId="9" fillId="4" borderId="14" xfId="0" applyNumberFormat="1" applyFont="1" applyFill="1" applyBorder="1" applyAlignment="1" applyProtection="1">
      <alignment horizontal="center" vertical="center"/>
      <protection/>
    </xf>
    <xf numFmtId="1" fontId="9" fillId="4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0" fontId="9" fillId="4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11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left" vertical="center" wrapText="1"/>
      <protection/>
    </xf>
    <xf numFmtId="0" fontId="9" fillId="4" borderId="12" xfId="0" applyFont="1" applyFill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/>
      <protection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173" fontId="11" fillId="4" borderId="1" xfId="0" applyNumberFormat="1" applyFont="1" applyFill="1" applyBorder="1" applyAlignment="1" applyProtection="1">
      <alignment horizontal="center" vertical="center"/>
      <protection/>
    </xf>
    <xf numFmtId="1" fontId="9" fillId="4" borderId="13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left" wrapText="1"/>
      <protection/>
    </xf>
    <xf numFmtId="2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1" fillId="4" borderId="26" xfId="0" applyFont="1" applyFill="1" applyBorder="1" applyAlignment="1" applyProtection="1">
      <alignment horizontal="center" vertical="center" wrapText="1"/>
      <protection/>
    </xf>
    <xf numFmtId="2" fontId="9" fillId="3" borderId="13" xfId="0" applyNumberFormat="1" applyFont="1" applyFill="1" applyBorder="1" applyAlignment="1" applyProtection="1">
      <alignment horizontal="center" vertical="center"/>
      <protection locked="0"/>
    </xf>
    <xf numFmtId="2" fontId="9" fillId="3" borderId="12" xfId="0" applyNumberFormat="1" applyFont="1" applyFill="1" applyBorder="1" applyAlignment="1" applyProtection="1">
      <alignment horizontal="center" vertical="center"/>
      <protection locked="0"/>
    </xf>
    <xf numFmtId="173" fontId="9" fillId="3" borderId="13" xfId="0" applyNumberFormat="1" applyFont="1" applyFill="1" applyBorder="1" applyAlignment="1" applyProtection="1">
      <alignment horizontal="center" vertical="center"/>
      <protection locked="0"/>
    </xf>
    <xf numFmtId="173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/>
    </xf>
    <xf numFmtId="174" fontId="9" fillId="4" borderId="1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wrapText="1"/>
      <protection/>
    </xf>
  </cellXfs>
  <cellStyles count="7">
    <cellStyle name="Normal" xfId="0"/>
    <cellStyle name="Comma" xfId="15"/>
    <cellStyle name="Euro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Keskiarvot!$C$3:$C$4</c:f>
              <c:strCache>
                <c:ptCount val="1"/>
                <c:pt idx="0">
                  <c:v>biologiset</c:v>
                </c:pt>
              </c:strCache>
            </c:strRef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Keskiarvot!$B$5:$B$27</c:f>
              <c:numCache>
                <c:ptCount val="23"/>
              </c:numCache>
            </c:numRef>
          </c:cat>
          <c:val>
            <c:numRef>
              <c:f>Keskiarvot!$C$5:$C$27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Keskiarvot!$D$3:$D$4</c:f>
              <c:strCache>
                <c:ptCount val="1"/>
                <c:pt idx="0">
                  <c:v>fysikaaliset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Keskiarvot!$B$5:$B$27</c:f>
              <c:numCache>
                <c:ptCount val="23"/>
              </c:numCache>
            </c:numRef>
          </c:cat>
          <c:val>
            <c:numRef>
              <c:f>Keskiarvot!$D$5:$D$27</c:f>
              <c:numCache>
                <c:ptCount val="23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Keskiarvot!$E$3:$E$4</c:f>
              <c:strCache>
                <c:ptCount val="1"/>
                <c:pt idx="0">
                  <c:v>kemialliset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Keskiarvot!$B$5:$B$27</c:f>
              <c:numCache>
                <c:ptCount val="23"/>
              </c:numCache>
            </c:numRef>
          </c:cat>
          <c:val>
            <c:numRef>
              <c:f>Keskiarvot!$E$5:$E$27</c:f>
              <c:numCache>
                <c:ptCount val="23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21296416"/>
        <c:axId val="57450017"/>
      </c:radarChart>
      <c:catAx>
        <c:axId val="21296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7450017"/>
        <c:crosses val="autoZero"/>
        <c:auto val="1"/>
        <c:lblOffset val="100"/>
        <c:noMultiLvlLbl val="0"/>
      </c:catAx>
      <c:valAx>
        <c:axId val="57450017"/>
        <c:scaling>
          <c:orientation val="minMax"/>
          <c:max val="10"/>
          <c:min val="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969696"/>
            </a:solidFill>
          </a:ln>
        </c:spPr>
        <c:crossAx val="2129641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1968503937007874" right="0.5905511811023623" top="0.7874015748031497" bottom="0.5905511811023623" header="0.7086614173228347" footer="0.5118110236220472"/>
  <pageSetup horizontalDpi="1200" verticalDpi="1200" orientation="landscape" paperSize="9"/>
  <headerFooter>
    <oddHeader>&amp;C&amp;"Arial,Lihavoitu"&amp;16Peltomaan laatutestin tulokset&amp;14
 &amp;12&amp;F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286500"/>
    <xdr:graphicFrame>
      <xdr:nvGraphicFramePr>
        <xdr:cNvPr id="1" name="Shape 1025"/>
        <xdr:cNvGraphicFramePr/>
      </xdr:nvGraphicFramePr>
      <xdr:xfrm>
        <a:off x="0" y="0"/>
        <a:ext cx="99631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A96" sqref="A96"/>
    </sheetView>
  </sheetViews>
  <sheetFormatPr defaultColWidth="9.140625" defaultRowHeight="12.75"/>
  <cols>
    <col min="1" max="1" width="27.7109375" style="6" customWidth="1"/>
    <col min="2" max="5" width="8.7109375" style="6" customWidth="1"/>
    <col min="6" max="8" width="8.7109375" style="5" customWidth="1"/>
    <col min="9" max="16384" width="9.140625" style="5" customWidth="1"/>
  </cols>
  <sheetData>
    <row r="1" spans="1:8" ht="30" customHeight="1">
      <c r="A1" s="50" t="s">
        <v>91</v>
      </c>
      <c r="B1" s="50"/>
      <c r="C1" s="50"/>
      <c r="D1" s="50"/>
      <c r="E1" s="50"/>
      <c r="F1" s="61" t="s">
        <v>48</v>
      </c>
      <c r="G1" s="61"/>
      <c r="H1" s="61"/>
    </row>
    <row r="2" spans="1:8" ht="12.75">
      <c r="A2" s="11" t="s">
        <v>0</v>
      </c>
      <c r="B2" s="66"/>
      <c r="C2" s="66"/>
      <c r="D2" s="66"/>
      <c r="E2" s="66"/>
      <c r="F2" s="66"/>
      <c r="G2" s="66"/>
      <c r="H2" s="66"/>
    </row>
    <row r="3" spans="1:8" ht="12.75">
      <c r="A3" s="11" t="s">
        <v>1</v>
      </c>
      <c r="B3" s="66"/>
      <c r="C3" s="66"/>
      <c r="D3" s="66"/>
      <c r="E3" s="66"/>
      <c r="F3" s="66"/>
      <c r="G3" s="66"/>
      <c r="H3" s="66"/>
    </row>
    <row r="4" spans="1:8" ht="12.75">
      <c r="A4" s="11" t="s">
        <v>2</v>
      </c>
      <c r="B4" s="67"/>
      <c r="C4" s="66"/>
      <c r="D4" s="66"/>
      <c r="E4" s="66"/>
      <c r="F4" s="66"/>
      <c r="G4" s="66"/>
      <c r="H4" s="66"/>
    </row>
    <row r="5" spans="1:8" ht="12.75">
      <c r="A5" s="11" t="s">
        <v>3</v>
      </c>
      <c r="B5" s="66"/>
      <c r="C5" s="66"/>
      <c r="D5" s="66"/>
      <c r="E5" s="66"/>
      <c r="F5" s="66"/>
      <c r="G5" s="66"/>
      <c r="H5" s="66"/>
    </row>
    <row r="6" spans="1:8" ht="36" customHeight="1">
      <c r="A6" s="69" t="s">
        <v>101</v>
      </c>
      <c r="B6" s="69"/>
      <c r="C6" s="69"/>
      <c r="D6" s="69"/>
      <c r="E6" s="69"/>
      <c r="F6" s="69"/>
      <c r="G6" s="69"/>
      <c r="H6" s="69"/>
    </row>
    <row r="7" spans="1:8" ht="12.75" customHeight="1">
      <c r="A7" s="62" t="s">
        <v>55</v>
      </c>
      <c r="B7" s="63"/>
      <c r="C7" s="68" t="s">
        <v>43</v>
      </c>
      <c r="D7" s="68"/>
      <c r="E7" s="68"/>
      <c r="F7" s="68"/>
      <c r="G7" s="68"/>
      <c r="H7" s="68"/>
    </row>
    <row r="8" spans="1:8" ht="12.75">
      <c r="A8" s="64"/>
      <c r="B8" s="65"/>
      <c r="C8" s="95" t="s">
        <v>79</v>
      </c>
      <c r="D8" s="95"/>
      <c r="E8" s="96" t="s">
        <v>73</v>
      </c>
      <c r="F8" s="96"/>
      <c r="G8" s="96" t="s">
        <v>74</v>
      </c>
      <c r="H8" s="96"/>
    </row>
    <row r="9" spans="1:8" ht="12.75">
      <c r="A9" s="94"/>
      <c r="B9" s="94"/>
      <c r="C9" s="81"/>
      <c r="D9" s="81"/>
      <c r="E9" s="81"/>
      <c r="F9" s="81"/>
      <c r="G9" s="81"/>
      <c r="H9" s="81"/>
    </row>
    <row r="10" spans="1:8" ht="19.5" customHeight="1">
      <c r="A10" s="121">
        <f>IF(OR(ISTEXT(E9),ISTEXT(G9)),"Testi ei anna luotettavaa tulosta liian märissä tai liian kuivissa oloissa.","")</f>
      </c>
      <c r="B10" s="121"/>
      <c r="C10" s="121"/>
      <c r="D10" s="121"/>
      <c r="E10" s="121"/>
      <c r="F10" s="121"/>
      <c r="G10" s="121"/>
      <c r="H10" s="121"/>
    </row>
    <row r="11" spans="1:8" s="8" customFormat="1" ht="24" customHeight="1">
      <c r="A11" s="111"/>
      <c r="B11" s="112"/>
      <c r="C11" s="97" t="s">
        <v>80</v>
      </c>
      <c r="D11" s="97"/>
      <c r="E11" s="97" t="s">
        <v>81</v>
      </c>
      <c r="F11" s="97"/>
      <c r="G11" s="97" t="s">
        <v>82</v>
      </c>
      <c r="H11" s="97"/>
    </row>
    <row r="12" spans="1:8" ht="12.75">
      <c r="A12" s="82"/>
      <c r="B12" s="82"/>
      <c r="C12" s="82"/>
      <c r="D12" s="82"/>
      <c r="E12" s="82"/>
      <c r="F12" s="82"/>
      <c r="G12" s="82"/>
      <c r="H12" s="82"/>
    </row>
    <row r="13" spans="1:8" ht="15" customHeight="1">
      <c r="A13" s="15" t="s">
        <v>4</v>
      </c>
      <c r="B13" s="15"/>
      <c r="C13" s="68" t="s">
        <v>43</v>
      </c>
      <c r="D13" s="68"/>
      <c r="E13" s="68" t="s">
        <v>43</v>
      </c>
      <c r="F13" s="68"/>
      <c r="G13" s="68" t="s">
        <v>43</v>
      </c>
      <c r="H13" s="68"/>
    </row>
    <row r="14" spans="1:8" ht="12.75">
      <c r="A14" s="77" t="s">
        <v>83</v>
      </c>
      <c r="B14" s="17" t="s">
        <v>75</v>
      </c>
      <c r="C14" s="74"/>
      <c r="D14" s="74"/>
      <c r="E14" s="74"/>
      <c r="F14" s="74"/>
      <c r="G14" s="74"/>
      <c r="H14" s="75"/>
    </row>
    <row r="15" spans="1:8" ht="12.75">
      <c r="A15" s="77"/>
      <c r="B15" s="18" t="s">
        <v>77</v>
      </c>
      <c r="C15" s="70"/>
      <c r="D15" s="70"/>
      <c r="E15" s="70"/>
      <c r="F15" s="70"/>
      <c r="G15" s="70"/>
      <c r="H15" s="71"/>
    </row>
    <row r="16" spans="1:8" ht="12.75">
      <c r="A16" s="77"/>
      <c r="B16" s="19" t="s">
        <v>76</v>
      </c>
      <c r="C16" s="72"/>
      <c r="D16" s="72"/>
      <c r="E16" s="72"/>
      <c r="F16" s="72"/>
      <c r="G16" s="72"/>
      <c r="H16" s="73"/>
    </row>
    <row r="17" spans="1:8" ht="12.75">
      <c r="A17" s="77" t="s">
        <v>78</v>
      </c>
      <c r="B17" s="17" t="s">
        <v>75</v>
      </c>
      <c r="C17" s="74"/>
      <c r="D17" s="74"/>
      <c r="E17" s="74"/>
      <c r="F17" s="74"/>
      <c r="G17" s="74"/>
      <c r="H17" s="75"/>
    </row>
    <row r="18" spans="1:8" ht="12.75">
      <c r="A18" s="77"/>
      <c r="B18" s="18" t="s">
        <v>77</v>
      </c>
      <c r="C18" s="70"/>
      <c r="D18" s="70"/>
      <c r="E18" s="70"/>
      <c r="F18" s="70"/>
      <c r="G18" s="70"/>
      <c r="H18" s="71"/>
    </row>
    <row r="19" spans="1:8" ht="12.75">
      <c r="A19" s="78"/>
      <c r="B19" s="20" t="s">
        <v>76</v>
      </c>
      <c r="C19" s="79"/>
      <c r="D19" s="79"/>
      <c r="E19" s="79"/>
      <c r="F19" s="79"/>
      <c r="G19" s="79"/>
      <c r="H19" s="83"/>
    </row>
    <row r="20" spans="1:8" ht="36" customHeight="1">
      <c r="A20" s="122" t="s">
        <v>102</v>
      </c>
      <c r="B20" s="122"/>
      <c r="C20" s="122"/>
      <c r="D20" s="122"/>
      <c r="E20" s="122"/>
      <c r="F20" s="122"/>
      <c r="G20" s="122"/>
      <c r="H20" s="122"/>
    </row>
    <row r="21" spans="1:8" ht="25.5">
      <c r="A21" s="21" t="s">
        <v>5</v>
      </c>
      <c r="B21" s="21" t="s">
        <v>35</v>
      </c>
      <c r="C21" s="59" t="s">
        <v>44</v>
      </c>
      <c r="D21" s="59"/>
      <c r="E21" s="59" t="s">
        <v>44</v>
      </c>
      <c r="F21" s="59"/>
      <c r="G21" s="59" t="s">
        <v>44</v>
      </c>
      <c r="H21" s="59"/>
    </row>
    <row r="22" spans="1:8" ht="12.75">
      <c r="A22" s="16" t="s">
        <v>6</v>
      </c>
      <c r="B22" s="16" t="s">
        <v>36</v>
      </c>
      <c r="C22" s="81"/>
      <c r="D22" s="81"/>
      <c r="E22" s="81"/>
      <c r="F22" s="81"/>
      <c r="G22" s="81"/>
      <c r="H22" s="81"/>
    </row>
    <row r="23" spans="1:8" ht="12.75">
      <c r="A23" s="58"/>
      <c r="B23" s="58"/>
      <c r="C23" s="58"/>
      <c r="D23" s="58"/>
      <c r="E23" s="58"/>
      <c r="F23" s="58"/>
      <c r="G23" s="58"/>
      <c r="H23" s="58"/>
    </row>
    <row r="24" spans="1:8" ht="12.75">
      <c r="A24" s="23" t="s">
        <v>7</v>
      </c>
      <c r="B24" s="24" t="s">
        <v>35</v>
      </c>
      <c r="C24" s="89" t="s">
        <v>44</v>
      </c>
      <c r="D24" s="89"/>
      <c r="E24" s="89" t="s">
        <v>44</v>
      </c>
      <c r="F24" s="89"/>
      <c r="G24" s="89" t="s">
        <v>44</v>
      </c>
      <c r="H24" s="89"/>
    </row>
    <row r="25" spans="1:8" ht="12.75">
      <c r="A25" s="25" t="s">
        <v>87</v>
      </c>
      <c r="B25" s="26" t="s">
        <v>41</v>
      </c>
      <c r="C25" s="113"/>
      <c r="D25" s="114"/>
      <c r="E25" s="27"/>
      <c r="F25" s="28"/>
      <c r="G25" s="28"/>
      <c r="H25" s="28"/>
    </row>
    <row r="26" spans="1:8" ht="12.75">
      <c r="A26" s="25" t="s">
        <v>88</v>
      </c>
      <c r="B26" s="26" t="s">
        <v>36</v>
      </c>
      <c r="C26" s="115"/>
      <c r="D26" s="116"/>
      <c r="E26" s="29"/>
      <c r="F26" s="30"/>
      <c r="G26" s="30"/>
      <c r="H26" s="30"/>
    </row>
    <row r="27" spans="1:8" ht="14.25" customHeight="1">
      <c r="A27" s="25" t="s">
        <v>8</v>
      </c>
      <c r="B27" s="26" t="s">
        <v>92</v>
      </c>
      <c r="C27" s="88"/>
      <c r="D27" s="88"/>
      <c r="E27" s="88"/>
      <c r="F27" s="88"/>
      <c r="G27" s="88"/>
      <c r="H27" s="88"/>
    </row>
    <row r="28" spans="1:8" ht="36" customHeight="1">
      <c r="A28" s="122" t="s">
        <v>103</v>
      </c>
      <c r="B28" s="122"/>
      <c r="C28" s="122"/>
      <c r="D28" s="122"/>
      <c r="E28" s="122"/>
      <c r="F28" s="122"/>
      <c r="G28" s="122"/>
      <c r="H28" s="122"/>
    </row>
    <row r="29" spans="1:8" ht="25.5" customHeight="1">
      <c r="A29" s="60" t="s">
        <v>9</v>
      </c>
      <c r="B29" s="56"/>
      <c r="C29" s="59" t="s">
        <v>45</v>
      </c>
      <c r="D29" s="59"/>
      <c r="E29" s="59" t="s">
        <v>45</v>
      </c>
      <c r="F29" s="59"/>
      <c r="G29" s="59" t="s">
        <v>45</v>
      </c>
      <c r="H29" s="59"/>
    </row>
    <row r="30" spans="1:8" ht="12.75">
      <c r="A30" s="102" t="s">
        <v>57</v>
      </c>
      <c r="B30" s="102"/>
      <c r="C30" s="81"/>
      <c r="D30" s="81"/>
      <c r="E30" s="81"/>
      <c r="F30" s="81"/>
      <c r="G30" s="81"/>
      <c r="H30" s="81"/>
    </row>
    <row r="31" spans="1:8" ht="14.25" customHeight="1">
      <c r="A31" s="58"/>
      <c r="B31" s="58"/>
      <c r="C31" s="58"/>
      <c r="D31" s="58"/>
      <c r="E31" s="58"/>
      <c r="F31" s="58"/>
      <c r="G31" s="58"/>
      <c r="H31" s="58"/>
    </row>
    <row r="32" spans="1:8" ht="25.5" customHeight="1">
      <c r="A32" s="60" t="s">
        <v>72</v>
      </c>
      <c r="B32" s="56"/>
      <c r="C32" s="59" t="s">
        <v>45</v>
      </c>
      <c r="D32" s="59"/>
      <c r="E32" s="59" t="s">
        <v>45</v>
      </c>
      <c r="F32" s="59"/>
      <c r="G32" s="59" t="s">
        <v>45</v>
      </c>
      <c r="H32" s="59"/>
    </row>
    <row r="33" spans="1:8" ht="12.75">
      <c r="A33" s="77" t="s">
        <v>10</v>
      </c>
      <c r="B33" s="77"/>
      <c r="C33" s="57"/>
      <c r="D33" s="76"/>
      <c r="E33" s="57"/>
      <c r="F33" s="76"/>
      <c r="G33" s="57"/>
      <c r="H33" s="76"/>
    </row>
    <row r="34" spans="1:8" ht="12.75">
      <c r="A34" s="77" t="s">
        <v>11</v>
      </c>
      <c r="B34" s="77"/>
      <c r="C34" s="57"/>
      <c r="D34" s="76"/>
      <c r="E34" s="57"/>
      <c r="F34" s="76"/>
      <c r="G34" s="57"/>
      <c r="H34" s="76"/>
    </row>
    <row r="35" spans="1:8" ht="12.75">
      <c r="A35" s="100" t="s">
        <v>15</v>
      </c>
      <c r="B35" s="101"/>
      <c r="C35" s="103"/>
      <c r="D35" s="104"/>
      <c r="E35" s="57"/>
      <c r="F35" s="76"/>
      <c r="G35" s="57"/>
      <c r="H35" s="76"/>
    </row>
    <row r="36" spans="1:8" ht="12.75">
      <c r="A36" s="100" t="s">
        <v>14</v>
      </c>
      <c r="B36" s="101"/>
      <c r="C36" s="103"/>
      <c r="D36" s="104"/>
      <c r="E36" s="57"/>
      <c r="F36" s="76"/>
      <c r="G36" s="57"/>
      <c r="H36" s="76"/>
    </row>
    <row r="37" spans="1:8" ht="12.75">
      <c r="A37" s="102" t="s">
        <v>60</v>
      </c>
      <c r="B37" s="102"/>
      <c r="C37" s="103"/>
      <c r="D37" s="104"/>
      <c r="E37" s="57"/>
      <c r="F37" s="76"/>
      <c r="G37" s="57"/>
      <c r="H37" s="76"/>
    </row>
    <row r="38" spans="1:8" ht="12.75">
      <c r="A38" s="102" t="s">
        <v>59</v>
      </c>
      <c r="B38" s="102"/>
      <c r="C38" s="103"/>
      <c r="D38" s="104"/>
      <c r="E38" s="57"/>
      <c r="F38" s="76"/>
      <c r="G38" s="57"/>
      <c r="H38" s="76"/>
    </row>
    <row r="39" spans="1:8" ht="12.75">
      <c r="A39" s="77" t="s">
        <v>12</v>
      </c>
      <c r="B39" s="77"/>
      <c r="C39" s="57"/>
      <c r="D39" s="76"/>
      <c r="E39" s="57"/>
      <c r="F39" s="76"/>
      <c r="G39" s="57"/>
      <c r="H39" s="76"/>
    </row>
    <row r="40" spans="1:8" ht="12.75">
      <c r="A40" s="102" t="s">
        <v>61</v>
      </c>
      <c r="B40" s="102"/>
      <c r="C40" s="57"/>
      <c r="D40" s="76"/>
      <c r="E40" s="57"/>
      <c r="F40" s="76"/>
      <c r="G40" s="57"/>
      <c r="H40" s="76"/>
    </row>
    <row r="41" spans="1:8" ht="12.75">
      <c r="A41" s="102" t="s">
        <v>62</v>
      </c>
      <c r="B41" s="102"/>
      <c r="C41" s="57"/>
      <c r="D41" s="76"/>
      <c r="E41" s="57"/>
      <c r="F41" s="76"/>
      <c r="G41" s="57"/>
      <c r="H41" s="76"/>
    </row>
    <row r="42" spans="1:8" s="9" customFormat="1" ht="12.75">
      <c r="A42" s="98"/>
      <c r="B42" s="98"/>
      <c r="C42" s="98"/>
      <c r="D42" s="98"/>
      <c r="E42" s="98"/>
      <c r="F42" s="98"/>
      <c r="G42" s="98"/>
      <c r="H42" s="98"/>
    </row>
    <row r="43" spans="1:8" ht="25.5" customHeight="1">
      <c r="A43" s="60" t="s">
        <v>71</v>
      </c>
      <c r="B43" s="56"/>
      <c r="C43" s="59" t="s">
        <v>45</v>
      </c>
      <c r="D43" s="59"/>
      <c r="E43" s="59" t="s">
        <v>45</v>
      </c>
      <c r="F43" s="59"/>
      <c r="G43" s="59" t="s">
        <v>45</v>
      </c>
      <c r="H43" s="59"/>
    </row>
    <row r="44" spans="1:8" ht="12.75">
      <c r="A44" s="77" t="s">
        <v>10</v>
      </c>
      <c r="B44" s="77"/>
      <c r="C44" s="81"/>
      <c r="D44" s="81"/>
      <c r="E44" s="81"/>
      <c r="F44" s="81"/>
      <c r="G44" s="81"/>
      <c r="H44" s="81"/>
    </row>
    <row r="45" spans="1:8" ht="12.75">
      <c r="A45" s="77" t="s">
        <v>11</v>
      </c>
      <c r="B45" s="77"/>
      <c r="C45" s="81"/>
      <c r="D45" s="81"/>
      <c r="E45" s="81"/>
      <c r="F45" s="81"/>
      <c r="G45" s="81"/>
      <c r="H45" s="81"/>
    </row>
    <row r="46" spans="1:8" ht="12.75">
      <c r="A46" s="77" t="s">
        <v>12</v>
      </c>
      <c r="B46" s="77"/>
      <c r="C46" s="81"/>
      <c r="D46" s="81"/>
      <c r="E46" s="81"/>
      <c r="F46" s="81"/>
      <c r="G46" s="81"/>
      <c r="H46" s="81"/>
    </row>
    <row r="47" spans="1:8" ht="12.75">
      <c r="A47" s="77" t="s">
        <v>13</v>
      </c>
      <c r="B47" s="77"/>
      <c r="C47" s="81"/>
      <c r="D47" s="81"/>
      <c r="E47" s="81"/>
      <c r="F47" s="81"/>
      <c r="G47" s="81"/>
      <c r="H47" s="81"/>
    </row>
    <row r="48" spans="1:8" ht="36" customHeight="1">
      <c r="A48" s="123" t="s">
        <v>104</v>
      </c>
      <c r="B48" s="123"/>
      <c r="C48" s="123"/>
      <c r="D48" s="123"/>
      <c r="E48" s="123"/>
      <c r="F48" s="123"/>
      <c r="G48" s="123"/>
      <c r="H48" s="123"/>
    </row>
    <row r="49" spans="1:8" ht="38.25" customHeight="1">
      <c r="A49" s="15" t="s">
        <v>16</v>
      </c>
      <c r="B49" s="21" t="s">
        <v>35</v>
      </c>
      <c r="C49" s="59" t="s">
        <v>44</v>
      </c>
      <c r="D49" s="59"/>
      <c r="E49" s="59" t="s">
        <v>44</v>
      </c>
      <c r="F49" s="59"/>
      <c r="G49" s="59" t="s">
        <v>44</v>
      </c>
      <c r="H49" s="59"/>
    </row>
    <row r="50" spans="1:8" ht="25.5">
      <c r="A50" s="31" t="s">
        <v>97</v>
      </c>
      <c r="B50" s="32" t="s">
        <v>38</v>
      </c>
      <c r="C50" s="81"/>
      <c r="D50" s="81"/>
      <c r="E50" s="81"/>
      <c r="F50" s="81"/>
      <c r="G50" s="81"/>
      <c r="H50" s="81"/>
    </row>
    <row r="51" spans="1:8" ht="25.5">
      <c r="A51" s="31" t="s">
        <v>56</v>
      </c>
      <c r="B51" s="32" t="s">
        <v>39</v>
      </c>
      <c r="C51" s="81"/>
      <c r="D51" s="81"/>
      <c r="E51" s="81"/>
      <c r="F51" s="81"/>
      <c r="G51" s="81"/>
      <c r="H51" s="81"/>
    </row>
    <row r="52" spans="1:8" ht="14.25">
      <c r="A52" s="26" t="s">
        <v>99</v>
      </c>
      <c r="B52" s="26" t="s">
        <v>93</v>
      </c>
      <c r="C52" s="80">
        <f>IF(OR(ISBLANK(C50),ISBLANK(C51)),"",(C50)/0.04+(C51)/0.25)</f>
      </c>
      <c r="D52" s="80"/>
      <c r="E52" s="80">
        <f>IF(OR(ISBLANK(E50),ISBLANK(E51)),"",(E50)/0.04+(E51)/0.25)</f>
      </c>
      <c r="F52" s="80"/>
      <c r="G52" s="80">
        <f>IF(OR(ISBLANK(G50),ISBLANK(G51)),"",(G50)/0.04+(G51)/0.25)</f>
      </c>
      <c r="H52" s="80"/>
    </row>
    <row r="53" spans="1:8" ht="14.25">
      <c r="A53" s="26" t="s">
        <v>17</v>
      </c>
      <c r="B53" s="26" t="s">
        <v>93</v>
      </c>
      <c r="C53" s="80">
        <f>IF(ISBLANK(C51),"",(C51/0.25))</f>
      </c>
      <c r="D53" s="80"/>
      <c r="E53" s="80">
        <f>IF(ISBLANK(E51),"",(E51/0.25))</f>
      </c>
      <c r="F53" s="80"/>
      <c r="G53" s="80">
        <f>IF(ISBLANK(G51),"",(G51/0.25))</f>
      </c>
      <c r="H53" s="80"/>
    </row>
    <row r="54" spans="1:8" ht="12.75">
      <c r="A54" s="84" t="s">
        <v>98</v>
      </c>
      <c r="B54" s="84"/>
      <c r="C54" s="85">
        <f>IF(C52="","",(IF(ISTEXT($C$14),7*(1-EXP(-C52*3/200))+3*(1-EXP(-C52*3/1000)),IF(ISTEXT($C$15),IF(C52&lt;730,8.2*(((3*C52)/(2*730))-(0.5*(C52/730)*(C52/730)*(C52/730)))+1.8*(1-EXP(-C52*3/1000)),8.2+1.8*(1-EXP(-C52*3/1000))),IF(ISTEXT($C$16),6.5*(1-EXP(-C52*3/50))+3.5*(1-EXP(-C52*3/325)),"")))))</f>
      </c>
      <c r="D54" s="85"/>
      <c r="E54" s="85">
        <f>IF(E52="","",(IF(ISTEXT($C$14),7*(1-EXP(-E52*3/200))+3*(1-EXP(-E52*3/1000)),IF(ISTEXT($C$15),IF(E52&lt;730,8.2*(((3*E52)/(2*730))-(0.5*(E52/730)*(E52/730)*(E52/730)))+1.8*(1-EXP(-E52*3/1000)),8.2+1.8*(1-EXP(-E52*3/1000))),IF(ISTEXT($C$16),6.5*(1-EXP(-E52*3/50))+3.5*(1-EXP(-E52*3/325)),"")))))</f>
      </c>
      <c r="F54" s="85"/>
      <c r="G54" s="85">
        <f>IF(G52="","",(IF(ISTEXT($C$14),7*(1-EXP(-G52*3/200))+3*(1-EXP(-G52*3/1000)),IF(ISTEXT($C$15),IF(G52&lt;730,8.2*(((3*G52)/(2*730))-(0.5*(G52/730)*(G52/730)*(G52/730)))+1.8*(1-EXP(-G52*3/1000)),8.2+1.8*(1-EXP(-G52*3/1000))),IF(ISTEXT($C$16),6.5*(1-EXP(-G52*3/50))+3.5*(1-EXP(-G52*3/325)),"")))))</f>
      </c>
      <c r="H54" s="85"/>
    </row>
    <row r="55" spans="1:8" ht="12.75">
      <c r="A55" s="84" t="s">
        <v>86</v>
      </c>
      <c r="B55" s="84"/>
      <c r="C55" s="85">
        <f>IF(C53="","",(IF(OR(ISTEXT($C$14),ISTEXT($C$15)),(IF(C53&lt;20,3.6*(((3*C53)/(2*20))-(0.5*(C53/20)*(C53/20)*(C53/20)))+6.4*(1-EXP(-C53*3/65)),3.6+6.4*(1-EXP(-C53*3/65)))),IF(ISTEXT($C$16),5*(1-EXP(-C53*3/12))+5*(1-EXP(-C53*3/6)),""))))</f>
      </c>
      <c r="D55" s="85"/>
      <c r="E55" s="85">
        <f>IF(E53="","",(IF(OR(ISTEXT($C$14),ISTEXT($C$15)),(IF(E53&lt;20,3.6*(((3*E53)/(2*20))-(0.5*(E53/20)*(E53/20)*(E53/20)))+6.4*(1-EXP(-E53*3/65)),3.6+6.4*(1-EXP(-E53*3/65)))),IF(ISTEXT($C$16),5*(1-EXP(-E53*3/12))+5*(1-EXP(-E53*3/6)),""))))</f>
      </c>
      <c r="F55" s="85"/>
      <c r="G55" s="85">
        <f>IF(G53="","",(IF(OR(ISTEXT($C$14),ISTEXT($C$15)),(IF(G53&lt;20,3.6*(((3*G53)/(2*20))-(0.5*(G53/20)*(G53/20)*(G53/20)))+6.4*(1-EXP(-G53*3/65)),3.6+6.4*(1-EXP(-G53*3/65)))),IF(ISTEXT($C$16),5*(1-EXP(-G53*3/12))+5*(1-EXP(-G53*3/6)),""))))</f>
      </c>
      <c r="H55" s="85"/>
    </row>
    <row r="56" spans="1:8" ht="12.75">
      <c r="A56" s="87"/>
      <c r="B56" s="87"/>
      <c r="C56" s="87"/>
      <c r="D56" s="87"/>
      <c r="E56" s="87"/>
      <c r="F56" s="87"/>
      <c r="G56" s="87"/>
      <c r="H56" s="87"/>
    </row>
    <row r="57" spans="1:8" ht="38.25">
      <c r="A57" s="15" t="s">
        <v>19</v>
      </c>
      <c r="B57" s="21" t="s">
        <v>35</v>
      </c>
      <c r="C57" s="22" t="s">
        <v>46</v>
      </c>
      <c r="D57" s="22" t="s">
        <v>47</v>
      </c>
      <c r="E57" s="22" t="s">
        <v>46</v>
      </c>
      <c r="F57" s="22" t="s">
        <v>47</v>
      </c>
      <c r="G57" s="22" t="s">
        <v>46</v>
      </c>
      <c r="H57" s="22" t="s">
        <v>47</v>
      </c>
    </row>
    <row r="58" spans="1:8" ht="12.75" customHeight="1">
      <c r="A58" s="16" t="s">
        <v>20</v>
      </c>
      <c r="B58" s="32" t="s">
        <v>94</v>
      </c>
      <c r="C58" s="33"/>
      <c r="D58" s="34"/>
      <c r="E58" s="33"/>
      <c r="F58" s="34"/>
      <c r="G58" s="33"/>
      <c r="H58" s="34"/>
    </row>
    <row r="59" spans="1:8" ht="12.75">
      <c r="A59" s="16" t="s">
        <v>21</v>
      </c>
      <c r="B59" s="26" t="s">
        <v>36</v>
      </c>
      <c r="C59" s="35"/>
      <c r="D59" s="36"/>
      <c r="E59" s="35"/>
      <c r="F59" s="36"/>
      <c r="G59" s="35"/>
      <c r="H59" s="36"/>
    </row>
    <row r="60" spans="1:8" ht="12.75" customHeight="1">
      <c r="A60" s="16" t="s">
        <v>22</v>
      </c>
      <c r="B60" s="32" t="s">
        <v>94</v>
      </c>
      <c r="C60" s="33"/>
      <c r="D60" s="34"/>
      <c r="E60" s="33"/>
      <c r="F60" s="34"/>
      <c r="G60" s="33"/>
      <c r="H60" s="34"/>
    </row>
    <row r="61" spans="1:8" ht="12.75">
      <c r="A61" s="16" t="s">
        <v>23</v>
      </c>
      <c r="B61" s="16" t="s">
        <v>36</v>
      </c>
      <c r="C61" s="35"/>
      <c r="D61" s="36"/>
      <c r="E61" s="35"/>
      <c r="F61" s="36"/>
      <c r="G61" s="35"/>
      <c r="H61" s="36"/>
    </row>
    <row r="62" spans="1:8" ht="12.75">
      <c r="A62" s="26" t="s">
        <v>85</v>
      </c>
      <c r="B62" s="26" t="s">
        <v>42</v>
      </c>
      <c r="C62" s="37">
        <f aca="true" t="shared" si="0" ref="C62:H62">IF(ISBLANK(C61),"",(C59-C61)/(HOUR(C60-C58)+MINUTE(C60-C58)/60+SECOND(C60-C58)/3600))</f>
      </c>
      <c r="D62" s="38">
        <f t="shared" si="0"/>
      </c>
      <c r="E62" s="37">
        <f t="shared" si="0"/>
      </c>
      <c r="F62" s="38">
        <f t="shared" si="0"/>
      </c>
      <c r="G62" s="37">
        <f t="shared" si="0"/>
      </c>
      <c r="H62" s="38">
        <f t="shared" si="0"/>
      </c>
    </row>
    <row r="63" spans="1:8" ht="25.5">
      <c r="A63" s="26" t="s">
        <v>58</v>
      </c>
      <c r="B63" s="26" t="s">
        <v>42</v>
      </c>
      <c r="C63" s="86">
        <f>IF(C61="","",AVERAGE(C62:D62))</f>
      </c>
      <c r="D63" s="86"/>
      <c r="E63" s="86">
        <f>IF(E61="","",AVERAGE(E62:F62))</f>
      </c>
      <c r="F63" s="86"/>
      <c r="G63" s="86">
        <f>IF(G61="","",AVERAGE(G62:H62))</f>
      </c>
      <c r="H63" s="86"/>
    </row>
    <row r="64" spans="1:8" ht="12.75">
      <c r="A64" s="92" t="s">
        <v>85</v>
      </c>
      <c r="B64" s="93"/>
      <c r="C64" s="85">
        <f>IF(C63="","",IF(OR(ISTEXT($C$14),ISTEXT($C$16)),7.82*(1-EXP(-C63*3/5))+1.86*(1-EXP(-C63*3/60)),IF(ISTEXT($C$15),7.6*(1-EXP(-C63*3/2))+2.4*(1-EXP(-C63*3/65)),"")))</f>
      </c>
      <c r="D64" s="85"/>
      <c r="E64" s="85">
        <f>IF(E63="","",IF(OR(ISTEXT($C$14),ISTEXT($C$16)),7.82*(1-EXP(-E63*3/5))+1.86*(1-EXP(-E63*3/60)),IF(ISTEXT($C$15),7.6*(1-EXP(-E63*3/2))+2.4*(1-EXP(-E63*3/65)),"")))</f>
      </c>
      <c r="F64" s="85"/>
      <c r="G64" s="85">
        <f>IF(G63="","",IF(OR(ISTEXT($C$14),ISTEXT($C$16)),7.82*(1-EXP(-G63*3/5))+1.86*(1-EXP(-G63*3/60)),IF(ISTEXT($C$15),7.6*(1-EXP(-G63*3/2))+2.4*(1-EXP(-G63*3/65)),"")))</f>
      </c>
      <c r="H64" s="85"/>
    </row>
    <row r="65" spans="1:8" ht="12.75">
      <c r="A65" s="58"/>
      <c r="B65" s="58"/>
      <c r="C65" s="58"/>
      <c r="D65" s="58"/>
      <c r="E65" s="58"/>
      <c r="F65" s="58"/>
      <c r="G65" s="58"/>
      <c r="H65" s="58"/>
    </row>
    <row r="66" spans="1:8" ht="12.75">
      <c r="A66" s="23" t="s">
        <v>7</v>
      </c>
      <c r="B66" s="24" t="s">
        <v>35</v>
      </c>
      <c r="C66" s="89" t="s">
        <v>44</v>
      </c>
      <c r="D66" s="89"/>
      <c r="E66" s="89" t="s">
        <v>44</v>
      </c>
      <c r="F66" s="89"/>
      <c r="G66" s="89" t="s">
        <v>44</v>
      </c>
      <c r="H66" s="89"/>
    </row>
    <row r="67" spans="1:8" ht="12.75">
      <c r="A67" s="25" t="s">
        <v>89</v>
      </c>
      <c r="B67" s="26" t="s">
        <v>40</v>
      </c>
      <c r="C67" s="99"/>
      <c r="D67" s="99"/>
      <c r="E67" s="107"/>
      <c r="F67" s="90"/>
      <c r="G67" s="90"/>
      <c r="H67" s="91"/>
    </row>
    <row r="68" spans="1:8" ht="12.75">
      <c r="A68" s="25" t="s">
        <v>18</v>
      </c>
      <c r="B68" s="26" t="s">
        <v>92</v>
      </c>
      <c r="C68" s="88"/>
      <c r="D68" s="88"/>
      <c r="E68" s="88"/>
      <c r="F68" s="88"/>
      <c r="G68" s="88"/>
      <c r="H68" s="88"/>
    </row>
    <row r="69" spans="1:8" ht="14.25">
      <c r="A69" s="25" t="s">
        <v>95</v>
      </c>
      <c r="B69" s="26" t="s">
        <v>37</v>
      </c>
      <c r="C69" s="105"/>
      <c r="D69" s="105"/>
      <c r="E69" s="105"/>
      <c r="F69" s="105"/>
      <c r="G69" s="105"/>
      <c r="H69" s="105"/>
    </row>
    <row r="70" spans="1:8" ht="27">
      <c r="A70" s="39" t="s">
        <v>100</v>
      </c>
      <c r="B70" s="26" t="s">
        <v>96</v>
      </c>
      <c r="C70" s="86">
        <f>IF(OR(ISBLANK(C69),ISBLANK(C68),ISBLANK($C$67),ISBLANK($C$25),ISBLANK($C$26),ISBLANK(C27)),"",(((((((((((C69*10000)-600)*$C$25)/(0.082056*(273.1+$C$67)))*(44.0092/100*27.2924))/1000000)/(PI()*($C$26/2)*($C$26/2)/10000)/((HOUR(C68-C27)*60+MINUTE(C68-C27))/60))*24))))*(POWER(4,((25-$C$67)/10))))</f>
      </c>
      <c r="D70" s="86"/>
      <c r="E70" s="86">
        <f>IF(OR(ISBLANK(E69),ISBLANK(E68),ISBLANK($C$67),ISBLANK($C$25),ISBLANK($C$26),ISBLANK(E27)),"",(((((((((((E69*10000)-600)*$C$25)/(0.082056*(273.1+$C$67)))*(44.0092/100*27.2924))/1000000)/(PI()*($C$26/2)*($C$26/2)/10000)/((HOUR(E68-E27)*60+MINUTE(E68-E27))/60))*24))))*(POWER(4,((25-$C$67)/10))))</f>
      </c>
      <c r="F70" s="86"/>
      <c r="G70" s="86">
        <f>IF(OR(ISBLANK(G69),ISBLANK(G68),ISBLANK($C$67),ISBLANK($C$25),ISBLANK($C$26),ISBLANK(G27)),"",(((((((((((G69*10000)-600)*$C$25)/(0.082056*(273.1+$C$67)))*(44.0092/100*27.2924))/1000000)/(PI()*($C$26/2)*($C$26/2)/10000)/((HOUR(G68-G27)*60+MINUTE(G68-G27))/60))*24))))*(POWER(4,((25-$C$67)/10))))</f>
      </c>
      <c r="H70" s="86"/>
    </row>
    <row r="71" spans="1:8" ht="12.75">
      <c r="A71" s="108" t="s">
        <v>7</v>
      </c>
      <c r="B71" s="108"/>
      <c r="C71" s="85">
        <f>IF(C70="","",(IF(C70&lt;27,5.5*(((3*C70)/(2*27))-(0.5*(C70/27)*(C70/27)*(C70/27)))+4.5*(1-EXP(-C70*3/63)),5.5+4.5*(1-EXP(-C70*3/63)))))</f>
      </c>
      <c r="D71" s="85"/>
      <c r="E71" s="85">
        <f>IF(E70="","",(IF(E70&lt;27,5.5*(((3*E70)/(2*27))-(0.5*(E70/27)*(E70/27)*(E70/27)))+4.5*(1-EXP(-E70*3/63)),5.5+4.5*(1-EXP(-E70*3/63)))))</f>
      </c>
      <c r="F71" s="85"/>
      <c r="G71" s="85">
        <f>IF(G70="","",(IF(G70&lt;27,5.5*(((3*G70)/(2*27))-(0.5*(G70/27)*(G70/27)*(G70/27)))+4.5*(1-EXP(-G70*3/63)),5.5+4.5*(1-EXP(-G70*3/63)))))</f>
      </c>
      <c r="H71" s="85"/>
    </row>
    <row r="72" spans="1:8" ht="12.75">
      <c r="A72" s="58"/>
      <c r="B72" s="58"/>
      <c r="C72" s="58"/>
      <c r="D72" s="58"/>
      <c r="E72" s="58"/>
      <c r="F72" s="58"/>
      <c r="G72" s="58"/>
      <c r="H72" s="58"/>
    </row>
    <row r="73" spans="1:8" ht="25.5">
      <c r="A73" s="21" t="s">
        <v>5</v>
      </c>
      <c r="B73" s="21" t="s">
        <v>35</v>
      </c>
      <c r="C73" s="59" t="s">
        <v>44</v>
      </c>
      <c r="D73" s="59"/>
      <c r="E73" s="59" t="s">
        <v>44</v>
      </c>
      <c r="F73" s="59"/>
      <c r="G73" s="59" t="s">
        <v>44</v>
      </c>
      <c r="H73" s="59"/>
    </row>
    <row r="74" spans="1:8" ht="12.75">
      <c r="A74" s="40" t="s">
        <v>24</v>
      </c>
      <c r="B74" s="16" t="s">
        <v>36</v>
      </c>
      <c r="C74" s="81"/>
      <c r="D74" s="81"/>
      <c r="E74" s="81"/>
      <c r="F74" s="81"/>
      <c r="G74" s="81"/>
      <c r="H74" s="81"/>
    </row>
    <row r="75" spans="1:8" ht="12.75" customHeight="1">
      <c r="A75" s="16" t="s">
        <v>25</v>
      </c>
      <c r="B75" s="32" t="s">
        <v>94</v>
      </c>
      <c r="C75" s="109"/>
      <c r="D75" s="109"/>
      <c r="E75" s="109"/>
      <c r="F75" s="109"/>
      <c r="G75" s="109"/>
      <c r="H75" s="109"/>
    </row>
    <row r="76" spans="1:8" ht="12.75">
      <c r="A76" s="16" t="s">
        <v>26</v>
      </c>
      <c r="B76" s="26" t="s">
        <v>36</v>
      </c>
      <c r="C76" s="110"/>
      <c r="D76" s="110"/>
      <c r="E76" s="110"/>
      <c r="F76" s="110"/>
      <c r="G76" s="110"/>
      <c r="H76" s="110"/>
    </row>
    <row r="77" spans="1:8" ht="12.75" customHeight="1">
      <c r="A77" s="16" t="s">
        <v>27</v>
      </c>
      <c r="B77" s="32" t="s">
        <v>94</v>
      </c>
      <c r="C77" s="109"/>
      <c r="D77" s="109"/>
      <c r="E77" s="109"/>
      <c r="F77" s="109"/>
      <c r="G77" s="109"/>
      <c r="H77" s="109"/>
    </row>
    <row r="78" spans="1:8" ht="12.75">
      <c r="A78" s="16" t="s">
        <v>28</v>
      </c>
      <c r="B78" s="26" t="s">
        <v>36</v>
      </c>
      <c r="C78" s="110"/>
      <c r="D78" s="110"/>
      <c r="E78" s="110"/>
      <c r="F78" s="110"/>
      <c r="G78" s="110"/>
      <c r="H78" s="110"/>
    </row>
    <row r="79" spans="1:8" ht="12.75">
      <c r="A79" s="26" t="s">
        <v>84</v>
      </c>
      <c r="B79" s="26" t="s">
        <v>42</v>
      </c>
      <c r="C79" s="118">
        <f>IF(C78="","",(4.17*16/((C78-C74)*((C22-C74)+40)*(2-((C78-C74)/(C22-C74)))))*(C76-C78)/(HOUR(C77-C75)+(MINUTE(C77-C75)/60)+(SECOND(C77-C75)/3600)))</f>
      </c>
      <c r="D79" s="118"/>
      <c r="E79" s="118">
        <f>IF(E78="","",(4.17*16/((E78-E74)*((E22-E74)+40)*(2-((E78-E74)/(E22-E74)))))*(E76-E78)/(HOUR(E77-E75)+(MINUTE(E77-E75)/60)+(SECOND(E77-E75)/3600)))</f>
      </c>
      <c r="F79" s="118"/>
      <c r="G79" s="118">
        <f>IF(G78="","",(4.17*16/((G78-G74)*((G22-G74)+40)*(2-((G78-G74)/(G22-G74)))))*(G76-G78)/(HOUR(G77-G75)+(MINUTE(G77-G75)/60)+(SECOND(G77-G75)/3600)))</f>
      </c>
      <c r="H79" s="118"/>
    </row>
    <row r="80" spans="1:8" ht="12.75">
      <c r="A80" s="84" t="s">
        <v>84</v>
      </c>
      <c r="B80" s="84"/>
      <c r="C80" s="106">
        <f>IF(C79="","",(IF(ISTEXT($C$17),2.7*(1-EXP(-C79*3/0.01))+5.8*(1-EXP(-C79*3/0.299))+1.5*(1-EXP(-C79*3/5)),IF(ISTEXT($C$18),7.8*(1-EXP(-C79*3/0.22))+2.2*(1-EXP(-C79*3/4)),IF(ISTEXT($C$19),7.8*(1-EXP(-C79*3/2.2))+2.2*(1-EXP(-C79*3/40)),"")))))</f>
      </c>
      <c r="D80" s="106"/>
      <c r="E80" s="106">
        <f>IF(E79="","",(IF(ISTEXT($C$17),2.7*(1-EXP(-E79*3/0.01))+5.8*(1-EXP(-E79*3/0.299))+1.5*(1-EXP(-E79*3/5)),IF(ISTEXT($C$18),7.8*(1-EXP(-E79*3/0.22))+2.2*(1-EXP(-E79*3/4)),IF(ISTEXT($C$19),7.8*(1-EXP(-E79*3/2.2))+2.2*(1-EXP(-E79*3/40)),"")))))</f>
      </c>
      <c r="F80" s="106"/>
      <c r="G80" s="106">
        <f>IF(G79="","",(IF(ISTEXT($C$17),2.7*(1-EXP(-G79*3/0.01))+5.8*(1-EXP(-G79*3/0.299))+1.5*(1-EXP(-G79*3/5)),IF(ISTEXT($C$18),7.8*(1-EXP(-G79*3/0.22))+2.2*(1-EXP(-G79*3/4)),IF(ISTEXT($C$19),7.8*(1-EXP(-G79*3/2.2))+2.2*(1-EXP(-G79*3/40)),"")))))</f>
      </c>
      <c r="H80" s="106"/>
    </row>
    <row r="81" spans="1:8" ht="12.75">
      <c r="A81" s="119" t="s">
        <v>29</v>
      </c>
      <c r="B81" s="120"/>
      <c r="C81" s="94">
        <f>IF(C79="","",(IF((C22-C74)/2&gt;(C22-C78),"OK","Epäluotetteva")))</f>
      </c>
      <c r="D81" s="94"/>
      <c r="E81" s="94">
        <f>IF(E79="","",(IF((E22-E74)/2&gt;(E22-E78),"OK","Epäluotetteva")))</f>
      </c>
      <c r="F81" s="94"/>
      <c r="G81" s="94">
        <f>IF(G79="","",(IF((G22-G74)/2&gt;(G22-G78),"OK","Epäluotetteva")))</f>
      </c>
      <c r="H81" s="94"/>
    </row>
    <row r="82" spans="1:8" ht="36" customHeight="1">
      <c r="A82" s="69" t="s">
        <v>105</v>
      </c>
      <c r="B82" s="69"/>
      <c r="C82" s="69"/>
      <c r="D82" s="69"/>
      <c r="E82" s="69"/>
      <c r="F82" s="69"/>
      <c r="G82" s="69"/>
      <c r="H82" s="69"/>
    </row>
    <row r="83" spans="1:8" ht="12.75">
      <c r="A83" s="117" t="s">
        <v>70</v>
      </c>
      <c r="B83" s="68" t="s">
        <v>43</v>
      </c>
      <c r="C83" s="68"/>
      <c r="D83" s="68"/>
      <c r="E83" s="68"/>
      <c r="F83" s="68"/>
      <c r="G83" s="68"/>
      <c r="H83" s="68"/>
    </row>
    <row r="84" spans="1:8" ht="25.5">
      <c r="A84" s="117"/>
      <c r="B84" s="12" t="s">
        <v>63</v>
      </c>
      <c r="C84" s="12" t="s">
        <v>64</v>
      </c>
      <c r="D84" s="12" t="s">
        <v>65</v>
      </c>
      <c r="E84" s="13" t="s">
        <v>66</v>
      </c>
      <c r="F84" s="13" t="s">
        <v>67</v>
      </c>
      <c r="G84" s="13" t="s">
        <v>68</v>
      </c>
      <c r="H84" s="12" t="s">
        <v>69</v>
      </c>
    </row>
    <row r="85" spans="1:8" ht="12.75">
      <c r="A85" s="16" t="s">
        <v>30</v>
      </c>
      <c r="B85" s="14"/>
      <c r="C85" s="14"/>
      <c r="D85" s="14"/>
      <c r="E85" s="41"/>
      <c r="F85" s="41"/>
      <c r="G85" s="41"/>
      <c r="H85" s="41"/>
    </row>
    <row r="86" spans="1:8" ht="12.75">
      <c r="A86" s="42" t="s">
        <v>31</v>
      </c>
      <c r="B86" s="43"/>
      <c r="C86" s="14"/>
      <c r="D86" s="44"/>
      <c r="E86" s="41"/>
      <c r="F86" s="41"/>
      <c r="G86" s="41"/>
      <c r="H86" s="41"/>
    </row>
    <row r="87" spans="1:8" ht="12.75">
      <c r="A87" s="45" t="s">
        <v>33</v>
      </c>
      <c r="B87" s="43"/>
      <c r="C87" s="14"/>
      <c r="D87" s="44"/>
      <c r="E87" s="41"/>
      <c r="F87" s="41"/>
      <c r="G87" s="41"/>
      <c r="H87" s="41"/>
    </row>
    <row r="88" spans="1:8" ht="12.75">
      <c r="A88" s="45" t="s">
        <v>32</v>
      </c>
      <c r="B88" s="43"/>
      <c r="C88" s="14"/>
      <c r="D88" s="44"/>
      <c r="E88" s="41"/>
      <c r="F88" s="41"/>
      <c r="G88" s="41"/>
      <c r="H88" s="41"/>
    </row>
    <row r="89" spans="1:8" ht="12.75">
      <c r="A89" s="45" t="s">
        <v>34</v>
      </c>
      <c r="B89" s="43"/>
      <c r="C89" s="14"/>
      <c r="D89" s="44"/>
      <c r="E89" s="41"/>
      <c r="F89" s="41"/>
      <c r="G89" s="41"/>
      <c r="H89" s="41"/>
    </row>
    <row r="90" spans="1:8" ht="12.75">
      <c r="A90" s="46" t="s">
        <v>106</v>
      </c>
      <c r="B90" s="43"/>
      <c r="C90" s="14"/>
      <c r="D90" s="44"/>
      <c r="E90" s="41"/>
      <c r="F90" s="41"/>
      <c r="G90" s="41"/>
      <c r="H90" s="41"/>
    </row>
    <row r="91" spans="1:8" ht="12.75">
      <c r="A91" s="46" t="s">
        <v>107</v>
      </c>
      <c r="B91" s="43"/>
      <c r="C91" s="14"/>
      <c r="D91" s="44"/>
      <c r="E91" s="41"/>
      <c r="F91" s="41"/>
      <c r="G91" s="41"/>
      <c r="H91" s="41"/>
    </row>
    <row r="92" spans="1:8" ht="12.75">
      <c r="A92" s="47" t="s">
        <v>108</v>
      </c>
      <c r="B92" s="43"/>
      <c r="C92" s="14"/>
      <c r="D92" s="44"/>
      <c r="E92" s="41"/>
      <c r="F92" s="41"/>
      <c r="G92" s="41"/>
      <c r="H92" s="41"/>
    </row>
    <row r="93" spans="1:8" ht="12.75">
      <c r="A93" s="47" t="s">
        <v>109</v>
      </c>
      <c r="B93" s="43"/>
      <c r="C93" s="14"/>
      <c r="D93" s="44"/>
      <c r="E93" s="41"/>
      <c r="F93" s="41"/>
      <c r="G93" s="41"/>
      <c r="H93" s="41"/>
    </row>
    <row r="94" spans="1:8" ht="12.75">
      <c r="A94" s="47" t="s">
        <v>110</v>
      </c>
      <c r="B94" s="48"/>
      <c r="C94" s="14"/>
      <c r="D94" s="44"/>
      <c r="E94" s="41"/>
      <c r="F94" s="41"/>
      <c r="G94" s="41"/>
      <c r="H94" s="41"/>
    </row>
    <row r="95" spans="1:5" ht="12.75">
      <c r="A95" s="7"/>
      <c r="B95" s="7"/>
      <c r="C95" s="7"/>
      <c r="D95" s="7"/>
      <c r="E95" s="5"/>
    </row>
    <row r="96" spans="1:5" ht="12.75">
      <c r="A96" s="49" t="s">
        <v>111</v>
      </c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</sheetData>
  <sheetProtection sheet="1" objects="1" scenarios="1" selectLockedCells="1"/>
  <mergeCells count="216">
    <mergeCell ref="A82:H82"/>
    <mergeCell ref="A10:H10"/>
    <mergeCell ref="A20:H20"/>
    <mergeCell ref="A28:H28"/>
    <mergeCell ref="A48:H48"/>
    <mergeCell ref="E77:F77"/>
    <mergeCell ref="G77:H77"/>
    <mergeCell ref="E78:F78"/>
    <mergeCell ref="G78:H78"/>
    <mergeCell ref="C74:D74"/>
    <mergeCell ref="B83:H83"/>
    <mergeCell ref="A83:A84"/>
    <mergeCell ref="C81:D81"/>
    <mergeCell ref="E79:F79"/>
    <mergeCell ref="G79:H79"/>
    <mergeCell ref="E81:F81"/>
    <mergeCell ref="G81:H81"/>
    <mergeCell ref="A81:B81"/>
    <mergeCell ref="G80:H80"/>
    <mergeCell ref="C79:D79"/>
    <mergeCell ref="A11:B11"/>
    <mergeCell ref="E74:F74"/>
    <mergeCell ref="G74:H74"/>
    <mergeCell ref="C24:D24"/>
    <mergeCell ref="C25:D25"/>
    <mergeCell ref="C26:D26"/>
    <mergeCell ref="C27:D27"/>
    <mergeCell ref="E70:F70"/>
    <mergeCell ref="A72:H72"/>
    <mergeCell ref="G73:H73"/>
    <mergeCell ref="C77:D77"/>
    <mergeCell ref="C78:D78"/>
    <mergeCell ref="C75:D75"/>
    <mergeCell ref="C76:D76"/>
    <mergeCell ref="E75:F75"/>
    <mergeCell ref="G75:H75"/>
    <mergeCell ref="E76:F76"/>
    <mergeCell ref="G76:H76"/>
    <mergeCell ref="A80:B80"/>
    <mergeCell ref="C80:D80"/>
    <mergeCell ref="E80:F80"/>
    <mergeCell ref="C53:D53"/>
    <mergeCell ref="E73:F73"/>
    <mergeCell ref="C68:D68"/>
    <mergeCell ref="C55:D55"/>
    <mergeCell ref="E67:F67"/>
    <mergeCell ref="A71:B71"/>
    <mergeCell ref="E68:F68"/>
    <mergeCell ref="C69:D69"/>
    <mergeCell ref="C70:D70"/>
    <mergeCell ref="E69:F69"/>
    <mergeCell ref="G69:H69"/>
    <mergeCell ref="C71:D71"/>
    <mergeCell ref="E71:F71"/>
    <mergeCell ref="G71:H71"/>
    <mergeCell ref="G70:H70"/>
    <mergeCell ref="C73:D73"/>
    <mergeCell ref="A46:B46"/>
    <mergeCell ref="A38:B38"/>
    <mergeCell ref="A37:B37"/>
    <mergeCell ref="A40:B40"/>
    <mergeCell ref="A41:B41"/>
    <mergeCell ref="A43:B43"/>
    <mergeCell ref="A44:B44"/>
    <mergeCell ref="C39:D39"/>
    <mergeCell ref="A39:B39"/>
    <mergeCell ref="C38:D38"/>
    <mergeCell ref="C35:D35"/>
    <mergeCell ref="C36:D36"/>
    <mergeCell ref="C37:D37"/>
    <mergeCell ref="A35:B35"/>
    <mergeCell ref="A36:B36"/>
    <mergeCell ref="C34:D34"/>
    <mergeCell ref="C11:D11"/>
    <mergeCell ref="C30:D30"/>
    <mergeCell ref="A30:B30"/>
    <mergeCell ref="A34:B34"/>
    <mergeCell ref="A33:B33"/>
    <mergeCell ref="A32:B32"/>
    <mergeCell ref="A14:A16"/>
    <mergeCell ref="E11:F11"/>
    <mergeCell ref="E22:F22"/>
    <mergeCell ref="E27:F27"/>
    <mergeCell ref="C21:D21"/>
    <mergeCell ref="C22:D22"/>
    <mergeCell ref="C13:D13"/>
    <mergeCell ref="E21:F21"/>
    <mergeCell ref="E15:F15"/>
    <mergeCell ref="E16:F16"/>
    <mergeCell ref="E24:F24"/>
    <mergeCell ref="C46:D46"/>
    <mergeCell ref="C52:D52"/>
    <mergeCell ref="C47:D47"/>
    <mergeCell ref="C49:D49"/>
    <mergeCell ref="A45:B45"/>
    <mergeCell ref="E19:F19"/>
    <mergeCell ref="C67:D67"/>
    <mergeCell ref="C44:D44"/>
    <mergeCell ref="C29:D29"/>
    <mergeCell ref="C66:D66"/>
    <mergeCell ref="C50:D50"/>
    <mergeCell ref="C51:D51"/>
    <mergeCell ref="C33:D33"/>
    <mergeCell ref="C45:D45"/>
    <mergeCell ref="C40:D40"/>
    <mergeCell ref="C41:D41"/>
    <mergeCell ref="C43:D43"/>
    <mergeCell ref="G9:H9"/>
    <mergeCell ref="G24:H24"/>
    <mergeCell ref="G11:H11"/>
    <mergeCell ref="E17:F17"/>
    <mergeCell ref="E18:F18"/>
    <mergeCell ref="A42:H42"/>
    <mergeCell ref="E29:F29"/>
    <mergeCell ref="A9:B9"/>
    <mergeCell ref="C8:D8"/>
    <mergeCell ref="E8:F8"/>
    <mergeCell ref="G8:H8"/>
    <mergeCell ref="C9:D9"/>
    <mergeCell ref="E9:F9"/>
    <mergeCell ref="G13:H13"/>
    <mergeCell ref="G14:H14"/>
    <mergeCell ref="E13:F13"/>
    <mergeCell ref="E14:F14"/>
    <mergeCell ref="E36:F36"/>
    <mergeCell ref="G27:H27"/>
    <mergeCell ref="E30:F30"/>
    <mergeCell ref="G29:H29"/>
    <mergeCell ref="G30:H30"/>
    <mergeCell ref="E35:F35"/>
    <mergeCell ref="E32:F32"/>
    <mergeCell ref="G35:H35"/>
    <mergeCell ref="G36:H36"/>
    <mergeCell ref="G39:H39"/>
    <mergeCell ref="G40:H40"/>
    <mergeCell ref="G41:H41"/>
    <mergeCell ref="E37:F37"/>
    <mergeCell ref="E38:F38"/>
    <mergeCell ref="E39:F39"/>
    <mergeCell ref="G37:H37"/>
    <mergeCell ref="G38:H38"/>
    <mergeCell ref="G43:H43"/>
    <mergeCell ref="E44:F44"/>
    <mergeCell ref="G44:H44"/>
    <mergeCell ref="E40:F40"/>
    <mergeCell ref="E41:F41"/>
    <mergeCell ref="E49:F49"/>
    <mergeCell ref="G49:H49"/>
    <mergeCell ref="A47:B47"/>
    <mergeCell ref="G66:H66"/>
    <mergeCell ref="C63:D63"/>
    <mergeCell ref="E53:F53"/>
    <mergeCell ref="G64:H64"/>
    <mergeCell ref="A65:H65"/>
    <mergeCell ref="A64:B64"/>
    <mergeCell ref="G53:H53"/>
    <mergeCell ref="E63:F63"/>
    <mergeCell ref="G63:H63"/>
    <mergeCell ref="A56:H56"/>
    <mergeCell ref="G68:H68"/>
    <mergeCell ref="E66:F66"/>
    <mergeCell ref="C64:D64"/>
    <mergeCell ref="E64:F64"/>
    <mergeCell ref="G67:H67"/>
    <mergeCell ref="A55:B55"/>
    <mergeCell ref="E55:F55"/>
    <mergeCell ref="G55:H55"/>
    <mergeCell ref="C54:D54"/>
    <mergeCell ref="E54:F54"/>
    <mergeCell ref="G54:H54"/>
    <mergeCell ref="A54:B54"/>
    <mergeCell ref="E47:F47"/>
    <mergeCell ref="G47:H47"/>
    <mergeCell ref="A12:H12"/>
    <mergeCell ref="G19:H19"/>
    <mergeCell ref="G22:H22"/>
    <mergeCell ref="E45:F45"/>
    <mergeCell ref="G45:H45"/>
    <mergeCell ref="E46:F46"/>
    <mergeCell ref="G46:H46"/>
    <mergeCell ref="E43:F43"/>
    <mergeCell ref="G52:H52"/>
    <mergeCell ref="E50:F50"/>
    <mergeCell ref="G50:H50"/>
    <mergeCell ref="E51:F51"/>
    <mergeCell ref="G51:H51"/>
    <mergeCell ref="E52:F52"/>
    <mergeCell ref="C14:D14"/>
    <mergeCell ref="C15:D15"/>
    <mergeCell ref="C16:D16"/>
    <mergeCell ref="C17:D17"/>
    <mergeCell ref="A29:B29"/>
    <mergeCell ref="A31:H31"/>
    <mergeCell ref="E34:F34"/>
    <mergeCell ref="G34:H34"/>
    <mergeCell ref="G32:H32"/>
    <mergeCell ref="E33:F33"/>
    <mergeCell ref="G33:H33"/>
    <mergeCell ref="C32:D32"/>
    <mergeCell ref="G15:H15"/>
    <mergeCell ref="G16:H16"/>
    <mergeCell ref="G17:H17"/>
    <mergeCell ref="A23:H23"/>
    <mergeCell ref="G18:H18"/>
    <mergeCell ref="G21:H21"/>
    <mergeCell ref="A17:A19"/>
    <mergeCell ref="C18:D18"/>
    <mergeCell ref="C19:D19"/>
    <mergeCell ref="F1:H1"/>
    <mergeCell ref="A7:B8"/>
    <mergeCell ref="B2:H2"/>
    <mergeCell ref="B3:H3"/>
    <mergeCell ref="B4:H4"/>
    <mergeCell ref="B5:H5"/>
    <mergeCell ref="C7:H7"/>
    <mergeCell ref="A6:H6"/>
  </mergeCells>
  <dataValidations count="1">
    <dataValidation type="decimal" allowBlank="1" showInputMessage="1" showErrorMessage="1" sqref="C30:H30 C44:H47 C33:H41">
      <formula1>0</formula1>
      <formula2>2</formula2>
    </dataValidation>
  </dataValidations>
  <printOptions/>
  <pageMargins left="0.7874015748031497" right="0.5905511811023623" top="0.4330708661417323" bottom="0.2362204724409449" header="0.31496062992125984" footer="0.31496062992125984"/>
  <pageSetup horizontalDpi="1200" verticalDpi="1200" orientation="portrait" paperSize="9" r:id="rId1"/>
  <headerFooter alignWithMargins="0">
    <oddFooter>&amp;L&amp;"Verdana,Normaali"&amp;9 www.agronet.fi &amp;"Arial,Normaali"&amp;10 &amp;R&amp;"Arial,Lihavoitu"&amp;7Peltomaan laatutesti &amp;"Arial,Normaali"&amp;P (&amp;N)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33.8515625" style="1" customWidth="1"/>
    <col min="3" max="5" width="11.57421875" style="1" customWidth="1"/>
    <col min="6" max="16384" width="9.140625" style="1" customWidth="1"/>
  </cols>
  <sheetData>
    <row r="1" spans="1:5" ht="46.5" customHeight="1">
      <c r="A1" s="124" t="s">
        <v>90</v>
      </c>
      <c r="B1" s="124"/>
      <c r="C1" s="124"/>
      <c r="D1" s="124"/>
      <c r="E1" s="124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 t="s">
        <v>50</v>
      </c>
      <c r="D3" s="10" t="s">
        <v>51</v>
      </c>
      <c r="E3" s="10" t="s">
        <v>52</v>
      </c>
    </row>
    <row r="4" spans="1:5" ht="15">
      <c r="A4" s="10" t="s">
        <v>49</v>
      </c>
      <c r="B4" s="10"/>
      <c r="C4" s="51"/>
      <c r="D4" s="51"/>
      <c r="E4" s="51"/>
    </row>
    <row r="5" spans="1:5" ht="15">
      <c r="A5" s="10"/>
      <c r="B5" s="10">
        <f>IF(ISNUMBER(C5),"ruokamultakerroksen biologiset","")</f>
      </c>
      <c r="C5" s="51">
        <f>IF(OR(ISNUMBER(Havaintotaulukko!C39),ISNUMBER(Havaintotaulukko!C40),ISNUMBER(Havaintotaulukko!C41),ISNUMBER(Havaintotaulukko!E39),ISNUMBER(Havaintotaulukko!E40),ISNUMBER(Havaintotaulukko!E41),ISNUMBER(Havaintotaulukko!G39),ISNUMBER(Havaintotaulukko!G40),ISNUMBER(Havaintotaulukko!G41)),AVERAGE(Havaintotaulukko!C39:Havaintotaulukko!G41)/2*10,"")</f>
      </c>
      <c r="D5" s="51"/>
      <c r="E5" s="51"/>
    </row>
    <row r="6" spans="1:5" ht="15">
      <c r="A6" s="10"/>
      <c r="B6" s="10">
        <f>IF(ISNUMBER(C6),"pohjamaan reikäisyys","")</f>
      </c>
      <c r="C6" s="51">
        <f>IF(OR(ISNUMBER(Havaintotaulukko!C46),ISNUMBER(Havaintotaulukko!C47),ISNUMBER(Havaintotaulukko!E46),ISNUMBER(Havaintotaulukko!E47),ISNUMBER(Havaintotaulukko!G46),ISNUMBER(Havaintotaulukko!G47)),AVERAGE(Havaintotaulukko!C46:G47)/2*10,"")</f>
      </c>
      <c r="D6" s="51"/>
      <c r="E6" s="51"/>
    </row>
    <row r="7" spans="1:5" ht="15">
      <c r="A7" s="10"/>
      <c r="B7" s="10">
        <f>IF(ISNUMBER(C7),"kastelierot","")</f>
      </c>
      <c r="C7" s="51">
        <f>IF(OR(ISNUMBER(Havaintotaulukko!C55),ISNUMBER(Havaintotaulukko!E55),ISNUMBER(Havaintotaulukko!G55)),AVERAGE(Havaintotaulukko!C55,Havaintotaulukko!E55,Havaintotaulukko!G55),"")</f>
      </c>
      <c r="D7" s="51"/>
      <c r="E7" s="51"/>
    </row>
    <row r="8" spans="1:16" ht="15">
      <c r="A8" s="10"/>
      <c r="B8" s="10">
        <f>IF(ISNUMBER(C8),"kaikki lierot","")</f>
      </c>
      <c r="C8" s="51">
        <f>IF(OR(ISNUMBER(Havaintotaulukko!C54),ISNUMBER(Havaintotaulukko!E54),ISNUMBER(Havaintotaulukko!G54)),AVERAGE(Havaintotaulukko!C54,Havaintotaulukko!E54,Havaintotaulukko!G54),"")</f>
      </c>
      <c r="D8" s="51"/>
      <c r="E8" s="51"/>
      <c r="P8" s="1">
        <v>3</v>
      </c>
    </row>
    <row r="9" spans="1:5" ht="15">
      <c r="A9" s="10"/>
      <c r="B9" s="10">
        <f>IF(ISNUMBER(C9),"maahengitys","")</f>
      </c>
      <c r="C9" s="51">
        <f>IF(OR(ISNUMBER(Havaintotaulukko!C71),ISNUMBER(Havaintotaulukko!E71),ISNUMBER(Havaintotaulukko!G71)),AVERAGE(Havaintotaulukko!C71,Havaintotaulukko!E71,Havaintotaulukko!G71),"")</f>
      </c>
      <c r="D9" s="51"/>
      <c r="E9" s="51"/>
    </row>
    <row r="10" spans="1:5" ht="15">
      <c r="A10" s="10" t="s">
        <v>53</v>
      </c>
      <c r="B10" s="10"/>
      <c r="C10" s="51"/>
      <c r="D10" s="51"/>
      <c r="E10" s="51"/>
    </row>
    <row r="11" spans="1:5" ht="15">
      <c r="A11" s="10"/>
      <c r="B11" s="10">
        <f>IF(ISNUMBER(D11),"tiivistymät ja iskostumat","")</f>
      </c>
      <c r="C11" s="51"/>
      <c r="D11" s="51">
        <f>IF(OR(ISNUMBER(Havaintotaulukko!C30),ISNUMBER(Havaintotaulukko!E30),ISNUMBER(Havaintotaulukko!G30)),AVERAGE(Havaintotaulukko!C30:H30)/2*10,"")</f>
      </c>
      <c r="E11" s="51"/>
    </row>
    <row r="12" spans="1:5" ht="15">
      <c r="A12" s="10"/>
      <c r="B12" s="10">
        <f>IF(ISNUMBER(D12),"ruokamultakerroksen fysikaaliset","")</f>
      </c>
      <c r="C12" s="51"/>
      <c r="D12" s="51">
        <f>IF(OR(ISNUMBER(Havaintotaulukko!C33),ISNUMBER(Havaintotaulukko!C34),ISNUMBER(Havaintotaulukko!C35),ISNUMBER(Havaintotaulukko!C36),ISNUMBER(Havaintotaulukko!C37),ISNUMBER(Havaintotaulukko!E33),ISNUMBER(Havaintotaulukko!E34),ISNUMBER(Havaintotaulukko!E35),ISNUMBER(Havaintotaulukko!E36),ISNUMBER(Havaintotaulukko!E37),ISNUMBER(Havaintotaulukko!G33),ISNUMBER(Havaintotaulukko!G34),ISNUMBER(Havaintotaulukko!G35),ISNUMBER(Havaintotaulukko!G36),ISNUMBER(Havaintotaulukko!G37)),AVERAGE(Havaintotaulukko!C33:G37)/2*10,"")</f>
      </c>
      <c r="E12" s="51"/>
    </row>
    <row r="13" spans="1:5" ht="15">
      <c r="A13" s="10"/>
      <c r="B13" s="10">
        <f>IF(ISNUMBER(D13),"pohjamaan fysikaaliset","")</f>
      </c>
      <c r="C13" s="51"/>
      <c r="D13" s="51">
        <f>IF(OR(ISNUMBER(Havaintotaulukko!C44),ISNUMBER(Havaintotaulukko!C45),ISNUMBER(Havaintotaulukko!E44),ISNUMBER(Havaintotaulukko!E45),ISNUMBER(Havaintotaulukko!G44),ISNUMBER(Havaintotaulukko!G45)),AVERAGE(Havaintotaulukko!C44:G45)/2*10,"")</f>
      </c>
      <c r="E13" s="51"/>
    </row>
    <row r="14" spans="1:5" ht="15">
      <c r="A14" s="10"/>
      <c r="B14" s="10">
        <f>IF(ISNUMBER(D14),"pintamaan vedenjohtavuus","")</f>
      </c>
      <c r="C14" s="51"/>
      <c r="D14" s="51">
        <f>IF(OR(ISNUMBER(Havaintotaulukko!C64),ISNUMBER(Havaintotaulukko!E64),ISNUMBER(Havaintotaulukko!G64)),AVERAGE(Havaintotaulukko!C64,Havaintotaulukko!E64,Havaintotaulukko!G64),"")</f>
      </c>
      <c r="E14" s="51"/>
    </row>
    <row r="15" spans="1:8" ht="15">
      <c r="A15" s="10"/>
      <c r="B15" s="10">
        <f>IF(ISNUMBER(D15),"pohjamaan vedenjohtavuus","")</f>
      </c>
      <c r="C15" s="51"/>
      <c r="D15" s="51">
        <f>IF(OR(ISNUMBER(Havaintotaulukko!C80),ISNUMBER(Havaintotaulukko!E80),ISNUMBER(Havaintotaulukko!G80)),AVERAGE(Havaintotaulukko!C80,Havaintotaulukko!E80,Havaintotaulukko!G80),"")</f>
      </c>
      <c r="E15" s="51"/>
      <c r="H15" s="2"/>
    </row>
    <row r="16" spans="1:5" ht="15">
      <c r="A16" s="10" t="s">
        <v>54</v>
      </c>
      <c r="B16" s="10"/>
      <c r="C16" s="51"/>
      <c r="D16" s="51"/>
      <c r="E16" s="51"/>
    </row>
    <row r="17" spans="1:5" ht="15">
      <c r="A17" s="10"/>
      <c r="B17" s="10">
        <f>IF(ISNUMBER(E17),"multavuus","")</f>
      </c>
      <c r="C17" s="51"/>
      <c r="D17" s="52"/>
      <c r="E17" s="51">
        <f>IF(OR(ISNUMBER(Havaintotaulukko!C38),ISNUMBER(Havaintotaulukko!E38),ISNUMBER(Havaintotaulukko!G38)),AVERAGE(Havaintotaulukko!C38:H38)/2*10,"")</f>
      </c>
    </row>
    <row r="18" spans="1:8" ht="15">
      <c r="A18" s="10"/>
      <c r="B18" s="10">
        <f>IF(ISNUMBER(E18),"pH","")</f>
      </c>
      <c r="C18" s="10"/>
      <c r="D18" s="10"/>
      <c r="E18" s="53">
        <f>IF(ISTEXT(Havaintotaulukko!B85),2,IF(ISTEXT(Havaintotaulukko!C85),4,IF(ISTEXT(Havaintotaulukko!D85),6,IF(ISTEXT(Havaintotaulukko!E85),8,IF(ISTEXT(Havaintotaulukko!F85),10,IF(ISTEXT(Havaintotaulukko!G85),8,IF(ISTEXT(Havaintotaulukko!H85),6,"")))))))</f>
      </c>
      <c r="H18" s="55"/>
    </row>
    <row r="19" spans="1:8" ht="15">
      <c r="A19" s="10"/>
      <c r="B19" s="10">
        <f>IF(ISNUMBER(E19),"Ca","")</f>
      </c>
      <c r="C19" s="10"/>
      <c r="D19" s="10"/>
      <c r="E19" s="53">
        <f>IF(ISTEXT(Havaintotaulukko!B86),2,IF(ISTEXT(Havaintotaulukko!C86),4,IF(ISTEXT(Havaintotaulukko!D86),6,IF(ISTEXT(Havaintotaulukko!E86),8,IF(ISTEXT(Havaintotaulukko!F86),10,IF(ISTEXT(Havaintotaulukko!G86),8,IF(ISTEXT(Havaintotaulukko!H86),6,"")))))))</f>
      </c>
      <c r="H19" s="3"/>
    </row>
    <row r="20" spans="1:8" ht="15">
      <c r="A20" s="10"/>
      <c r="B20" s="10">
        <f>IF(ISNUMBER(E20),"P","")</f>
      </c>
      <c r="C20" s="10"/>
      <c r="D20" s="10"/>
      <c r="E20" s="53">
        <f>IF(ISTEXT(Havaintotaulukko!B87),2,IF(ISTEXT(Havaintotaulukko!C87),4,IF(ISTEXT(Havaintotaulukko!D87),6,IF(ISTEXT(Havaintotaulukko!E87),8,IF(ISTEXT(Havaintotaulukko!F87),10,IF(ISTEXT(Havaintotaulukko!G87),8,IF(ISTEXT(Havaintotaulukko!H87),6,"")))))))</f>
      </c>
      <c r="H20" s="4"/>
    </row>
    <row r="21" spans="1:8" ht="15">
      <c r="A21" s="10"/>
      <c r="B21" s="10">
        <f>IF(ISNUMBER(E21),"K","")</f>
      </c>
      <c r="C21" s="10"/>
      <c r="D21" s="10"/>
      <c r="E21" s="53">
        <f>IF(ISTEXT(Havaintotaulukko!B88),2,IF(ISTEXT(Havaintotaulukko!C88),4,IF(ISTEXT(Havaintotaulukko!D88),6,IF(ISTEXT(Havaintotaulukko!E88),8,IF(ISTEXT(Havaintotaulukko!F88),10,IF(ISTEXT(Havaintotaulukko!G88),8,IF(ISTEXT(Havaintotaulukko!H88),6,"")))))))</f>
      </c>
      <c r="H21" s="4"/>
    </row>
    <row r="22" spans="1:8" ht="15">
      <c r="A22" s="10"/>
      <c r="B22" s="10">
        <f>IF(ISNUMBER(E22),"Mg","")</f>
      </c>
      <c r="C22" s="10"/>
      <c r="D22" s="10"/>
      <c r="E22" s="53">
        <f>IF(ISTEXT(Havaintotaulukko!B89),2,IF(ISTEXT(Havaintotaulukko!C89),4,IF(ISTEXT(Havaintotaulukko!D89),6,IF(ISTEXT(Havaintotaulukko!E89),8,IF(ISTEXT(Havaintotaulukko!F89),10,IF(ISTEXT(Havaintotaulukko!G89),8,IF(ISTEXT(Havaintotaulukko!H89),6,"")))))))</f>
      </c>
      <c r="H22" s="4"/>
    </row>
    <row r="23" spans="1:8" ht="15">
      <c r="A23" s="10"/>
      <c r="B23" s="10">
        <f>IF(Havaintotaulukko!A90=0,"",(IF(ISNUMBER(E23),Havaintotaulukko!A90,"")))</f>
      </c>
      <c r="C23" s="10"/>
      <c r="D23" s="10"/>
      <c r="E23" s="53">
        <f>IF(ISTEXT(Havaintotaulukko!B90),2,IF(ISTEXT(Havaintotaulukko!C90),4,IF(ISTEXT(Havaintotaulukko!D90),6,IF(ISTEXT(Havaintotaulukko!E90),8,IF(ISTEXT(Havaintotaulukko!F90),10,IF(ISTEXT(Havaintotaulukko!G90),8,IF(ISTEXT(Havaintotaulukko!H90),6,"")))))))</f>
      </c>
      <c r="H23" s="4"/>
    </row>
    <row r="24" spans="1:5" ht="15">
      <c r="A24" s="10"/>
      <c r="B24" s="10">
        <f>IF(Havaintotaulukko!A91=0,"",(IF(ISNUMBER(E24),Havaintotaulukko!A91,"")))</f>
      </c>
      <c r="C24" s="10"/>
      <c r="D24" s="10"/>
      <c r="E24" s="53">
        <f>IF(ISTEXT(Havaintotaulukko!B91),2,IF(ISTEXT(Havaintotaulukko!C91),4,IF(ISTEXT(Havaintotaulukko!D91),6,IF(ISTEXT(Havaintotaulukko!E91),8,IF(ISTEXT(Havaintotaulukko!F91),10,IF(ISTEXT(Havaintotaulukko!G91),8,IF(ISTEXT(Havaintotaulukko!H91),6,"")))))))</f>
      </c>
    </row>
    <row r="25" spans="1:5" ht="15">
      <c r="A25" s="10"/>
      <c r="B25" s="10">
        <f>IF(Havaintotaulukko!A92=0,"",(IF(ISNUMBER(E25),Havaintotaulukko!A92,"")))</f>
      </c>
      <c r="C25" s="10"/>
      <c r="D25" s="10"/>
      <c r="E25" s="53">
        <f>IF(ISTEXT(Havaintotaulukko!B92),2,IF(ISTEXT(Havaintotaulukko!C92),4,IF(ISTEXT(Havaintotaulukko!D92),6,IF(ISTEXT(Havaintotaulukko!E92),8,IF(ISTEXT(Havaintotaulukko!F92),10,IF(ISTEXT(Havaintotaulukko!G92),8,IF(ISTEXT(Havaintotaulukko!H92),6,"")))))))</f>
      </c>
    </row>
    <row r="26" spans="1:5" ht="15">
      <c r="A26" s="10"/>
      <c r="B26" s="10">
        <f>IF(Havaintotaulukko!A93=0,"",(IF(ISNUMBER(E26),Havaintotaulukko!A93,"")))</f>
      </c>
      <c r="C26" s="10"/>
      <c r="D26" s="10"/>
      <c r="E26" s="53">
        <f>IF(ISTEXT(Havaintotaulukko!B93),2,IF(ISTEXT(Havaintotaulukko!C93),4,IF(ISTEXT(Havaintotaulukko!D93),6,IF(ISTEXT(Havaintotaulukko!E93),8,IF(ISTEXT(Havaintotaulukko!F93),10,IF(ISTEXT(Havaintotaulukko!G93),8,IF(ISTEXT(Havaintotaulukko!H93),6,"")))))))</f>
      </c>
    </row>
    <row r="27" spans="1:5" ht="15">
      <c r="A27" s="10"/>
      <c r="B27" s="10">
        <f>IF(Havaintotaulukko!A94=0,"",(IF(ISNUMBER(E27),Havaintotaulukko!A94,"")))</f>
      </c>
      <c r="C27" s="10"/>
      <c r="D27" s="10"/>
      <c r="E27" s="53">
        <f>IF(ISTEXT(Havaintotaulukko!B94),2,IF(ISTEXT(Havaintotaulukko!C94),4,IF(ISTEXT(Havaintotaulukko!D94),6,IF(ISTEXT(Havaintotaulukko!E94),8,IF(ISTEXT(Havaintotaulukko!F94),10,IF(ISTEXT(Havaintotaulukko!G94),8,IF(ISTEXT(Havaintotaulukko!H94),6,"")))))))</f>
      </c>
    </row>
    <row r="28" ht="15">
      <c r="E28" s="54"/>
    </row>
    <row r="29" ht="15">
      <c r="E29" s="54"/>
    </row>
    <row r="30" ht="15">
      <c r="E30" s="54"/>
    </row>
  </sheetData>
  <sheetProtection sheet="1" objects="1" scenarios="1" selectLockedCells="1" autoFilter="0"/>
  <autoFilter ref="B3:B27"/>
  <mergeCells count="1">
    <mergeCell ref="A1:E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 Myllys</dc:creator>
  <cp:keywords/>
  <dc:description/>
  <cp:lastModifiedBy>Meeri Komulainen</cp:lastModifiedBy>
  <cp:lastPrinted>2006-10-15T15:15:33Z</cp:lastPrinted>
  <dcterms:created xsi:type="dcterms:W3CDTF">2006-08-18T13:00:18Z</dcterms:created>
  <dcterms:modified xsi:type="dcterms:W3CDTF">2006-10-15T17:29:21Z</dcterms:modified>
  <cp:category/>
  <cp:version/>
  <cp:contentType/>
  <cp:contentStatus/>
</cp:coreProperties>
</file>